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1cba2dbc69c9d38/Statistics/R/Projects/nuiphao/Grinding-screen-panel-comparison/2014/data/"/>
    </mc:Choice>
  </mc:AlternateContent>
  <xr:revisionPtr revIDLastSave="1" documentId="8_{486D562E-CB47-478A-A1A3-BE08E15E4F28}" xr6:coauthVersionLast="45" xr6:coauthVersionMax="45" xr10:uidLastSave="{AABA62CF-D5B1-4326-A7AB-77EA94E65BB9}"/>
  <bookViews>
    <workbookView xWindow="-120" yWindow="-120" windowWidth="20730" windowHeight="11760" tabRatio="821" firstSheet="1" activeTab="4" xr2:uid="{647B1950-2C49-45DE-9215-2A846255FF28}"/>
  </bookViews>
  <sheets>
    <sheet name="Sheet1" sheetId="1" r:id="rId1"/>
    <sheet name="13-10-2014" sheetId="2" r:id="rId2"/>
    <sheet name="14-10-2014" sheetId="3" r:id="rId3"/>
    <sheet name="19-10-2014" sheetId="4" r:id="rId4"/>
    <sheet name="31-10-2014 SC14" sheetId="6" r:id="rId5"/>
    <sheet name="31-10-2014 SC13" sheetId="7" r:id="rId6"/>
    <sheet name="Process data 19-and-31oct2014" sheetId="5" r:id="rId7"/>
  </sheets>
  <definedNames>
    <definedName name="_xlnm.Print_Area" localSheetId="1">'13-10-2014'!$A$7:$F$18</definedName>
    <definedName name="_xlnm.Print_Area" localSheetId="2">'14-10-2014'!$A$7:$F$18</definedName>
    <definedName name="_xlnm.Print_Area" localSheetId="3">'19-10-2014'!$A$10:$G$21</definedName>
    <definedName name="_xlnm.Print_Area" localSheetId="5">'31-10-2014 SC13'!$A$10:$G$21</definedName>
    <definedName name="_xlnm.Print_Area" localSheetId="4">'31-10-2014 SC14'!$A$10:$G$21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39" i="7" l="1"/>
  <c r="F238" i="7"/>
  <c r="E238" i="7"/>
  <c r="D238" i="7"/>
  <c r="E241" i="7" s="1"/>
  <c r="C238" i="7"/>
  <c r="E202" i="7"/>
  <c r="E201" i="7"/>
  <c r="F200" i="7"/>
  <c r="G198" i="7"/>
  <c r="E196" i="7"/>
  <c r="E195" i="7"/>
  <c r="G194" i="7"/>
  <c r="E194" i="7"/>
  <c r="E193" i="7"/>
  <c r="E192" i="7"/>
  <c r="E191" i="7"/>
  <c r="G190" i="7"/>
  <c r="E190" i="7"/>
  <c r="B190" i="7"/>
  <c r="E186" i="7"/>
  <c r="E181" i="7"/>
  <c r="E180" i="7"/>
  <c r="E179" i="7"/>
  <c r="E178" i="7"/>
  <c r="E177" i="7"/>
  <c r="E176" i="7"/>
  <c r="E175" i="7"/>
  <c r="B175" i="7"/>
  <c r="E171" i="7"/>
  <c r="E166" i="7"/>
  <c r="E165" i="7"/>
  <c r="E164" i="7"/>
  <c r="E163" i="7"/>
  <c r="E162" i="7"/>
  <c r="E161" i="7"/>
  <c r="E160" i="7"/>
  <c r="B160" i="7"/>
  <c r="E156" i="7"/>
  <c r="E151" i="7"/>
  <c r="E150" i="7"/>
  <c r="E149" i="7"/>
  <c r="E148" i="7"/>
  <c r="E147" i="7"/>
  <c r="E146" i="7"/>
  <c r="E145" i="7"/>
  <c r="B145" i="7"/>
  <c r="E142" i="7"/>
  <c r="E141" i="7"/>
  <c r="G138" i="7"/>
  <c r="E136" i="7"/>
  <c r="E135" i="7"/>
  <c r="E134" i="7"/>
  <c r="E133" i="7"/>
  <c r="E132" i="7"/>
  <c r="E131" i="7"/>
  <c r="E130" i="7"/>
  <c r="B130" i="7"/>
  <c r="E126" i="7"/>
  <c r="B115" i="7"/>
  <c r="E111" i="7"/>
  <c r="B100" i="7"/>
  <c r="E96" i="7"/>
  <c r="E91" i="7"/>
  <c r="E90" i="7"/>
  <c r="E89" i="7"/>
  <c r="E88" i="7"/>
  <c r="E87" i="7"/>
  <c r="E86" i="7"/>
  <c r="E85" i="7"/>
  <c r="B85" i="7"/>
  <c r="F82" i="7"/>
  <c r="E82" i="7"/>
  <c r="E81" i="7"/>
  <c r="G80" i="7"/>
  <c r="F80" i="7"/>
  <c r="G78" i="7"/>
  <c r="F78" i="7"/>
  <c r="G76" i="7"/>
  <c r="F76" i="7"/>
  <c r="G73" i="7"/>
  <c r="F73" i="7"/>
  <c r="G71" i="7"/>
  <c r="F70" i="7"/>
  <c r="B70" i="7"/>
  <c r="E66" i="7"/>
  <c r="E67" i="7" s="1"/>
  <c r="G64" i="7"/>
  <c r="F64" i="7"/>
  <c r="F62" i="7"/>
  <c r="G60" i="7"/>
  <c r="F60" i="7"/>
  <c r="F59" i="7"/>
  <c r="G57" i="7"/>
  <c r="F57" i="7"/>
  <c r="G55" i="7"/>
  <c r="B55" i="7"/>
  <c r="F52" i="7"/>
  <c r="E52" i="7"/>
  <c r="E51" i="7"/>
  <c r="F51" i="7" s="1"/>
  <c r="G50" i="7"/>
  <c r="F50" i="7"/>
  <c r="G48" i="7"/>
  <c r="F48" i="7"/>
  <c r="G46" i="7"/>
  <c r="F46" i="7"/>
  <c r="G43" i="7"/>
  <c r="F43" i="7"/>
  <c r="G41" i="7"/>
  <c r="F40" i="7"/>
  <c r="B40" i="7"/>
  <c r="E36" i="7"/>
  <c r="E31" i="7"/>
  <c r="E30" i="7"/>
  <c r="E29" i="7"/>
  <c r="E28" i="7"/>
  <c r="E27" i="7"/>
  <c r="E26" i="7"/>
  <c r="E25" i="7"/>
  <c r="B25" i="7"/>
  <c r="G20" i="7"/>
  <c r="G21" i="7" s="1"/>
  <c r="C15" i="7"/>
  <c r="E14" i="7"/>
  <c r="E15" i="7" s="1"/>
  <c r="D14" i="7"/>
  <c r="D15" i="7" s="1"/>
  <c r="C14" i="7"/>
  <c r="C239" i="6"/>
  <c r="F238" i="6"/>
  <c r="E238" i="6"/>
  <c r="C238" i="6"/>
  <c r="D238" i="6" s="1"/>
  <c r="E201" i="6"/>
  <c r="E196" i="6"/>
  <c r="E195" i="6"/>
  <c r="E194" i="6"/>
  <c r="E193" i="6"/>
  <c r="E192" i="6"/>
  <c r="E191" i="6"/>
  <c r="E190" i="6"/>
  <c r="B190" i="6"/>
  <c r="E186" i="6"/>
  <c r="E181" i="6"/>
  <c r="E180" i="6"/>
  <c r="E179" i="6"/>
  <c r="E178" i="6"/>
  <c r="E177" i="6"/>
  <c r="E176" i="6"/>
  <c r="E175" i="6"/>
  <c r="B175" i="6"/>
  <c r="E171" i="6"/>
  <c r="E166" i="6"/>
  <c r="E165" i="6"/>
  <c r="E164" i="6"/>
  <c r="E163" i="6"/>
  <c r="E162" i="6"/>
  <c r="E161" i="6"/>
  <c r="E160" i="6"/>
  <c r="B160" i="6"/>
  <c r="E156" i="6"/>
  <c r="E151" i="6"/>
  <c r="E150" i="6"/>
  <c r="E149" i="6"/>
  <c r="E148" i="6"/>
  <c r="E147" i="6"/>
  <c r="E146" i="6"/>
  <c r="E145" i="6"/>
  <c r="B145" i="6"/>
  <c r="E141" i="6"/>
  <c r="E136" i="6"/>
  <c r="E135" i="6"/>
  <c r="E134" i="6"/>
  <c r="E133" i="6"/>
  <c r="E132" i="6"/>
  <c r="E131" i="6"/>
  <c r="E130" i="6"/>
  <c r="B130" i="6"/>
  <c r="E126" i="6"/>
  <c r="E125" i="6"/>
  <c r="E124" i="6"/>
  <c r="E123" i="6"/>
  <c r="E122" i="6"/>
  <c r="E121" i="6"/>
  <c r="E120" i="6"/>
  <c r="E119" i="6"/>
  <c r="E118" i="6"/>
  <c r="E117" i="6"/>
  <c r="E116" i="6"/>
  <c r="B115" i="6"/>
  <c r="E111" i="6"/>
  <c r="B100" i="6"/>
  <c r="E96" i="6"/>
  <c r="E91" i="6"/>
  <c r="E90" i="6"/>
  <c r="E89" i="6"/>
  <c r="E88" i="6"/>
  <c r="E87" i="6"/>
  <c r="E86" i="6"/>
  <c r="E85" i="6"/>
  <c r="B85" i="6"/>
  <c r="F81" i="6"/>
  <c r="E81" i="6"/>
  <c r="E82" i="6" s="1"/>
  <c r="G79" i="6"/>
  <c r="F79" i="6"/>
  <c r="G77" i="6"/>
  <c r="F77" i="6"/>
  <c r="G75" i="6"/>
  <c r="F75" i="6"/>
  <c r="G74" i="6"/>
  <c r="F74" i="6"/>
  <c r="G72" i="6"/>
  <c r="F72" i="6"/>
  <c r="F71" i="6"/>
  <c r="G70" i="6"/>
  <c r="B70" i="6"/>
  <c r="E67" i="6"/>
  <c r="F67" i="6" s="1"/>
  <c r="E66" i="6"/>
  <c r="G61" i="6"/>
  <c r="F60" i="6"/>
  <c r="G58" i="6"/>
  <c r="G56" i="6"/>
  <c r="B55" i="6"/>
  <c r="E52" i="6"/>
  <c r="G47" i="6" s="1"/>
  <c r="E51" i="6"/>
  <c r="F51" i="6" s="1"/>
  <c r="G49" i="6"/>
  <c r="F48" i="6"/>
  <c r="F47" i="6"/>
  <c r="F44" i="6"/>
  <c r="G43" i="6"/>
  <c r="F40" i="6"/>
  <c r="B40" i="6"/>
  <c r="E36" i="6"/>
  <c r="E31" i="6"/>
  <c r="F31" i="6" s="1"/>
  <c r="E30" i="6"/>
  <c r="E29" i="6"/>
  <c r="E28" i="6"/>
  <c r="F28" i="6" s="1"/>
  <c r="E27" i="6"/>
  <c r="E26" i="6"/>
  <c r="E25" i="6"/>
  <c r="E37" i="6" s="1"/>
  <c r="B25" i="6"/>
  <c r="E15" i="6"/>
  <c r="E14" i="6"/>
  <c r="C14" i="6"/>
  <c r="C15" i="6" s="1"/>
  <c r="F36" i="7" l="1"/>
  <c r="F26" i="7"/>
  <c r="E37" i="7"/>
  <c r="F25" i="7"/>
  <c r="F29" i="7"/>
  <c r="H59" i="7"/>
  <c r="E157" i="7"/>
  <c r="F31" i="7"/>
  <c r="L43" i="7"/>
  <c r="F67" i="7"/>
  <c r="G65" i="7"/>
  <c r="G63" i="7"/>
  <c r="G61" i="7"/>
  <c r="G58" i="7"/>
  <c r="F55" i="7"/>
  <c r="F65" i="7"/>
  <c r="F63" i="7"/>
  <c r="F61" i="7"/>
  <c r="F58" i="7"/>
  <c r="G56" i="7"/>
  <c r="B57" i="7" s="1"/>
  <c r="F88" i="7"/>
  <c r="E112" i="7"/>
  <c r="F111" i="7"/>
  <c r="F132" i="7"/>
  <c r="F201" i="7"/>
  <c r="G199" i="7"/>
  <c r="G197" i="7"/>
  <c r="G192" i="7"/>
  <c r="G191" i="7"/>
  <c r="B192" i="7" s="1"/>
  <c r="F199" i="7"/>
  <c r="F197" i="7"/>
  <c r="G195" i="7"/>
  <c r="G193" i="7"/>
  <c r="F198" i="7"/>
  <c r="F195" i="7"/>
  <c r="G200" i="7"/>
  <c r="G196" i="7"/>
  <c r="F196" i="7"/>
  <c r="F194" i="7"/>
  <c r="F202" i="7"/>
  <c r="F141" i="7"/>
  <c r="G139" i="7"/>
  <c r="G137" i="7"/>
  <c r="G132" i="7"/>
  <c r="G131" i="7"/>
  <c r="F139" i="7"/>
  <c r="F137" i="7"/>
  <c r="G135" i="7"/>
  <c r="G133" i="7"/>
  <c r="G140" i="7"/>
  <c r="G136" i="7"/>
  <c r="F142" i="7"/>
  <c r="F140" i="7"/>
  <c r="F136" i="7"/>
  <c r="G134" i="7"/>
  <c r="G130" i="7"/>
  <c r="F151" i="7"/>
  <c r="E187" i="7"/>
  <c r="C20" i="7"/>
  <c r="C21" i="7" s="1"/>
  <c r="F30" i="7"/>
  <c r="G49" i="7"/>
  <c r="G47" i="7"/>
  <c r="G45" i="7"/>
  <c r="G44" i="7"/>
  <c r="G42" i="7"/>
  <c r="B42" i="7" s="1"/>
  <c r="F41" i="7"/>
  <c r="F49" i="7"/>
  <c r="F47" i="7"/>
  <c r="F45" i="7"/>
  <c r="H44" i="7" s="1"/>
  <c r="F44" i="7"/>
  <c r="F42" i="7"/>
  <c r="L50" i="7" s="1"/>
  <c r="G40" i="7"/>
  <c r="F56" i="7"/>
  <c r="G59" i="7"/>
  <c r="G62" i="7"/>
  <c r="F66" i="7"/>
  <c r="F81" i="7"/>
  <c r="G79" i="7"/>
  <c r="G77" i="7"/>
  <c r="G75" i="7"/>
  <c r="G74" i="7"/>
  <c r="G72" i="7"/>
  <c r="B72" i="7" s="1"/>
  <c r="F71" i="7"/>
  <c r="F79" i="7"/>
  <c r="F77" i="7"/>
  <c r="L79" i="7" s="1"/>
  <c r="F75" i="7"/>
  <c r="F74" i="7"/>
  <c r="F72" i="7"/>
  <c r="L76" i="7" s="1"/>
  <c r="G70" i="7"/>
  <c r="E97" i="7"/>
  <c r="F130" i="7"/>
  <c r="F133" i="7"/>
  <c r="F134" i="7"/>
  <c r="F135" i="7"/>
  <c r="F138" i="7"/>
  <c r="F149" i="7"/>
  <c r="F177" i="7"/>
  <c r="E127" i="7"/>
  <c r="F126" i="7"/>
  <c r="F192" i="7"/>
  <c r="F131" i="7"/>
  <c r="F190" i="7"/>
  <c r="F193" i="7"/>
  <c r="E172" i="7"/>
  <c r="F191" i="7"/>
  <c r="D239" i="7"/>
  <c r="D242" i="7" s="1"/>
  <c r="F34" i="6"/>
  <c r="F32" i="6"/>
  <c r="G30" i="6"/>
  <c r="G29" i="6"/>
  <c r="B14" i="6"/>
  <c r="B15" i="6" s="1"/>
  <c r="G35" i="6"/>
  <c r="G31" i="6"/>
  <c r="G25" i="6"/>
  <c r="G34" i="6"/>
  <c r="G28" i="6"/>
  <c r="F26" i="6"/>
  <c r="F37" i="6"/>
  <c r="G33" i="6"/>
  <c r="F35" i="6"/>
  <c r="G27" i="6"/>
  <c r="F36" i="6"/>
  <c r="G32" i="6"/>
  <c r="F33" i="6"/>
  <c r="G26" i="6"/>
  <c r="B27" i="6" s="1"/>
  <c r="F27" i="6"/>
  <c r="F29" i="6"/>
  <c r="F30" i="6"/>
  <c r="B57" i="6"/>
  <c r="E241" i="6"/>
  <c r="D239" i="6"/>
  <c r="D242" i="6" s="1"/>
  <c r="G40" i="6"/>
  <c r="G44" i="6"/>
  <c r="F45" i="6"/>
  <c r="H44" i="6" s="1"/>
  <c r="F65" i="6"/>
  <c r="F52" i="6"/>
  <c r="G50" i="6"/>
  <c r="G48" i="6"/>
  <c r="G46" i="6"/>
  <c r="G64" i="6"/>
  <c r="G62" i="6"/>
  <c r="G60" i="6"/>
  <c r="G59" i="6"/>
  <c r="G57" i="6"/>
  <c r="F56" i="6"/>
  <c r="F64" i="6"/>
  <c r="E127" i="6"/>
  <c r="F122" i="6" s="1"/>
  <c r="F42" i="6"/>
  <c r="F46" i="6"/>
  <c r="G42" i="6"/>
  <c r="F55" i="6"/>
  <c r="F57" i="6"/>
  <c r="F63" i="6"/>
  <c r="G65" i="6"/>
  <c r="E97" i="6"/>
  <c r="F85" i="6"/>
  <c r="F148" i="6"/>
  <c r="F91" i="6"/>
  <c r="F131" i="6"/>
  <c r="D14" i="6"/>
  <c r="D15" i="6" s="1"/>
  <c r="F25" i="6"/>
  <c r="F41" i="6"/>
  <c r="L49" i="6" s="1"/>
  <c r="G45" i="6"/>
  <c r="G41" i="6"/>
  <c r="F43" i="6"/>
  <c r="L43" i="6"/>
  <c r="F49" i="6"/>
  <c r="F50" i="6"/>
  <c r="G55" i="6"/>
  <c r="F58" i="6"/>
  <c r="F59" i="6"/>
  <c r="F61" i="6"/>
  <c r="F62" i="6"/>
  <c r="G63" i="6"/>
  <c r="F66" i="6"/>
  <c r="F82" i="6"/>
  <c r="G80" i="6"/>
  <c r="G78" i="6"/>
  <c r="G76" i="6"/>
  <c r="G73" i="6"/>
  <c r="F70" i="6"/>
  <c r="F80" i="6"/>
  <c r="F78" i="6"/>
  <c r="F76" i="6"/>
  <c r="H74" i="6" s="1"/>
  <c r="F73" i="6"/>
  <c r="G71" i="6"/>
  <c r="B72" i="6" s="1"/>
  <c r="F111" i="6"/>
  <c r="F179" i="6"/>
  <c r="E112" i="6"/>
  <c r="E142" i="6"/>
  <c r="F132" i="6"/>
  <c r="E157" i="6"/>
  <c r="F145" i="6"/>
  <c r="F151" i="6"/>
  <c r="E187" i="6"/>
  <c r="F190" i="6"/>
  <c r="F195" i="6"/>
  <c r="F163" i="6"/>
  <c r="F176" i="6"/>
  <c r="F193" i="6"/>
  <c r="F201" i="6"/>
  <c r="E172" i="6"/>
  <c r="F160" i="6"/>
  <c r="F171" i="6"/>
  <c r="F177" i="6"/>
  <c r="E202" i="6"/>
  <c r="F185" i="7" l="1"/>
  <c r="F183" i="7"/>
  <c r="F181" i="7"/>
  <c r="F179" i="7"/>
  <c r="G175" i="7"/>
  <c r="B177" i="7" s="1"/>
  <c r="G184" i="7"/>
  <c r="G182" i="7"/>
  <c r="G177" i="7"/>
  <c r="G176" i="7"/>
  <c r="F184" i="7"/>
  <c r="F178" i="7"/>
  <c r="F176" i="7"/>
  <c r="F187" i="7"/>
  <c r="G183" i="7"/>
  <c r="G180" i="7"/>
  <c r="G179" i="7"/>
  <c r="F182" i="7"/>
  <c r="G185" i="7"/>
  <c r="F180" i="7"/>
  <c r="G181" i="7"/>
  <c r="F20" i="7"/>
  <c r="F21" i="7" s="1"/>
  <c r="G178" i="7"/>
  <c r="L65" i="7"/>
  <c r="L63" i="7"/>
  <c r="L61" i="7"/>
  <c r="L59" i="7"/>
  <c r="L58" i="7"/>
  <c r="L62" i="7"/>
  <c r="L64" i="7"/>
  <c r="L60" i="7"/>
  <c r="L80" i="7"/>
  <c r="L45" i="7"/>
  <c r="L199" i="7"/>
  <c r="L197" i="7"/>
  <c r="L194" i="7"/>
  <c r="L200" i="7"/>
  <c r="L196" i="7"/>
  <c r="L198" i="7"/>
  <c r="L193" i="7"/>
  <c r="L195" i="7"/>
  <c r="L78" i="7"/>
  <c r="L74" i="7"/>
  <c r="L75" i="7"/>
  <c r="F110" i="7"/>
  <c r="F108" i="7"/>
  <c r="F106" i="7"/>
  <c r="F103" i="7"/>
  <c r="G101" i="7"/>
  <c r="G109" i="7"/>
  <c r="G107" i="7"/>
  <c r="G105" i="7"/>
  <c r="G104" i="7"/>
  <c r="G102" i="7"/>
  <c r="F101" i="7"/>
  <c r="F112" i="7"/>
  <c r="G108" i="7"/>
  <c r="G14" i="7"/>
  <c r="G15" i="7" s="1"/>
  <c r="G110" i="7"/>
  <c r="F109" i="7"/>
  <c r="F102" i="7"/>
  <c r="F107" i="7"/>
  <c r="F104" i="7"/>
  <c r="G100" i="7"/>
  <c r="G106" i="7"/>
  <c r="G103" i="7"/>
  <c r="F100" i="7"/>
  <c r="F105" i="7"/>
  <c r="L47" i="7"/>
  <c r="J43" i="7"/>
  <c r="N43" i="7" s="1"/>
  <c r="J45" i="7"/>
  <c r="F172" i="7"/>
  <c r="G170" i="7"/>
  <c r="G168" i="7"/>
  <c r="G166" i="7"/>
  <c r="F165" i="7"/>
  <c r="G164" i="7"/>
  <c r="F163" i="7"/>
  <c r="F170" i="7"/>
  <c r="F168" i="7"/>
  <c r="G160" i="7"/>
  <c r="B162" i="7" s="1"/>
  <c r="F171" i="7"/>
  <c r="G167" i="7"/>
  <c r="G163" i="7"/>
  <c r="F160" i="7"/>
  <c r="F167" i="7"/>
  <c r="G161" i="7"/>
  <c r="G165" i="7"/>
  <c r="F161" i="7"/>
  <c r="F169" i="7"/>
  <c r="G162" i="7"/>
  <c r="E20" i="7"/>
  <c r="E21" i="7" s="1"/>
  <c r="G169" i="7"/>
  <c r="F162" i="7"/>
  <c r="F164" i="7"/>
  <c r="F166" i="7"/>
  <c r="F125" i="7"/>
  <c r="F123" i="7"/>
  <c r="F121" i="7"/>
  <c r="G124" i="7"/>
  <c r="G122" i="7"/>
  <c r="G120" i="7"/>
  <c r="G119" i="7"/>
  <c r="B117" i="7" s="1"/>
  <c r="G117" i="7"/>
  <c r="F127" i="7"/>
  <c r="G123" i="7"/>
  <c r="F117" i="7"/>
  <c r="G115" i="7"/>
  <c r="F122" i="7"/>
  <c r="F119" i="7"/>
  <c r="F115" i="7"/>
  <c r="F124" i="7"/>
  <c r="F118" i="7"/>
  <c r="G118" i="7"/>
  <c r="G121" i="7"/>
  <c r="G116" i="7"/>
  <c r="B20" i="7"/>
  <c r="B21" i="7" s="1"/>
  <c r="F120" i="7"/>
  <c r="F116" i="7"/>
  <c r="G125" i="7"/>
  <c r="L139" i="7"/>
  <c r="L137" i="7"/>
  <c r="L134" i="7"/>
  <c r="L138" i="7"/>
  <c r="L135" i="7"/>
  <c r="L136" i="7"/>
  <c r="L140" i="7"/>
  <c r="L133" i="7"/>
  <c r="B132" i="7"/>
  <c r="L73" i="7"/>
  <c r="F157" i="7"/>
  <c r="G155" i="7"/>
  <c r="G153" i="7"/>
  <c r="G151" i="7"/>
  <c r="F156" i="7"/>
  <c r="F155" i="7"/>
  <c r="F154" i="7"/>
  <c r="G150" i="7"/>
  <c r="G148" i="7"/>
  <c r="F147" i="7"/>
  <c r="F146" i="7"/>
  <c r="G149" i="7"/>
  <c r="G147" i="7"/>
  <c r="G152" i="7"/>
  <c r="G145" i="7"/>
  <c r="B147" i="7" s="1"/>
  <c r="G154" i="7"/>
  <c r="F152" i="7"/>
  <c r="F145" i="7"/>
  <c r="G146" i="7"/>
  <c r="F153" i="7"/>
  <c r="D20" i="7"/>
  <c r="D21" i="7" s="1"/>
  <c r="F186" i="7"/>
  <c r="H134" i="7"/>
  <c r="F94" i="7"/>
  <c r="F92" i="7"/>
  <c r="G90" i="7"/>
  <c r="G88" i="7"/>
  <c r="F87" i="7"/>
  <c r="F86" i="7"/>
  <c r="F97" i="7"/>
  <c r="G95" i="7"/>
  <c r="G93" i="7"/>
  <c r="G91" i="7"/>
  <c r="G89" i="7"/>
  <c r="G94" i="7"/>
  <c r="F85" i="7"/>
  <c r="G92" i="7"/>
  <c r="G87" i="7"/>
  <c r="F95" i="7"/>
  <c r="F89" i="7"/>
  <c r="G85" i="7"/>
  <c r="F96" i="7"/>
  <c r="F93" i="7"/>
  <c r="G86" i="7"/>
  <c r="F14" i="7"/>
  <c r="F15" i="7" s="1"/>
  <c r="F91" i="7"/>
  <c r="H74" i="7"/>
  <c r="L48" i="7"/>
  <c r="L44" i="7"/>
  <c r="F175" i="7"/>
  <c r="L77" i="7"/>
  <c r="H194" i="7"/>
  <c r="F150" i="7"/>
  <c r="F90" i="7"/>
  <c r="L46" i="7"/>
  <c r="L49" i="7"/>
  <c r="F148" i="7"/>
  <c r="F37" i="7"/>
  <c r="G35" i="7"/>
  <c r="G33" i="7"/>
  <c r="G31" i="7"/>
  <c r="G25" i="7"/>
  <c r="F35" i="7"/>
  <c r="F33" i="7"/>
  <c r="G27" i="7"/>
  <c r="G26" i="7"/>
  <c r="B27" i="7" s="1"/>
  <c r="G32" i="7"/>
  <c r="G28" i="7"/>
  <c r="G34" i="7"/>
  <c r="G29" i="7"/>
  <c r="F32" i="7"/>
  <c r="H29" i="7" s="1"/>
  <c r="F28" i="7"/>
  <c r="B14" i="7"/>
  <c r="B15" i="7" s="1"/>
  <c r="F34" i="7"/>
  <c r="G30" i="7"/>
  <c r="F27" i="7"/>
  <c r="J46" i="7" s="1"/>
  <c r="L152" i="6"/>
  <c r="L150" i="6"/>
  <c r="F139" i="6"/>
  <c r="F137" i="6"/>
  <c r="G135" i="6"/>
  <c r="G133" i="6"/>
  <c r="F142" i="6"/>
  <c r="G140" i="6"/>
  <c r="G138" i="6"/>
  <c r="G136" i="6"/>
  <c r="F135" i="6"/>
  <c r="G134" i="6"/>
  <c r="F133" i="6"/>
  <c r="F140" i="6"/>
  <c r="F138" i="6"/>
  <c r="G130" i="6"/>
  <c r="B132" i="6" s="1"/>
  <c r="G139" i="6"/>
  <c r="G137" i="6"/>
  <c r="G131" i="6"/>
  <c r="F130" i="6"/>
  <c r="G132" i="6"/>
  <c r="F141" i="6"/>
  <c r="C20" i="6"/>
  <c r="C21" i="6" s="1"/>
  <c r="H59" i="6"/>
  <c r="L44" i="6"/>
  <c r="F120" i="6"/>
  <c r="F95" i="6"/>
  <c r="F93" i="6"/>
  <c r="G85" i="6"/>
  <c r="G94" i="6"/>
  <c r="G92" i="6"/>
  <c r="G87" i="6"/>
  <c r="G86" i="6"/>
  <c r="F97" i="6"/>
  <c r="G93" i="6"/>
  <c r="G90" i="6"/>
  <c r="G89" i="6"/>
  <c r="F14" i="6"/>
  <c r="F15" i="6" s="1"/>
  <c r="F94" i="6"/>
  <c r="F86" i="6"/>
  <c r="L95" i="6" s="1"/>
  <c r="F92" i="6"/>
  <c r="F90" i="6"/>
  <c r="G95" i="6"/>
  <c r="G91" i="6"/>
  <c r="G88" i="6"/>
  <c r="F88" i="6"/>
  <c r="L64" i="6"/>
  <c r="L65" i="6"/>
  <c r="L60" i="6"/>
  <c r="L59" i="6"/>
  <c r="L62" i="6"/>
  <c r="L61" i="6"/>
  <c r="L58" i="6"/>
  <c r="L63" i="6"/>
  <c r="F134" i="6"/>
  <c r="L48" i="6"/>
  <c r="L80" i="6"/>
  <c r="L78" i="6"/>
  <c r="L76" i="6"/>
  <c r="L74" i="6"/>
  <c r="L73" i="6"/>
  <c r="L79" i="6"/>
  <c r="L75" i="6"/>
  <c r="L77" i="6"/>
  <c r="G123" i="6"/>
  <c r="G117" i="6"/>
  <c r="G116" i="6"/>
  <c r="F115" i="6"/>
  <c r="F127" i="6"/>
  <c r="G125" i="6"/>
  <c r="G121" i="6"/>
  <c r="G119" i="6"/>
  <c r="B117" i="6" s="1"/>
  <c r="F125" i="6"/>
  <c r="F123" i="6"/>
  <c r="F121" i="6"/>
  <c r="F116" i="6"/>
  <c r="F119" i="6"/>
  <c r="F117" i="6"/>
  <c r="G120" i="6"/>
  <c r="G115" i="6"/>
  <c r="B20" i="6"/>
  <c r="B21" i="6" s="1"/>
  <c r="G118" i="6"/>
  <c r="G122" i="6"/>
  <c r="G124" i="6"/>
  <c r="L46" i="6"/>
  <c r="L194" i="6"/>
  <c r="F154" i="6"/>
  <c r="F152" i="6"/>
  <c r="F155" i="6"/>
  <c r="F153" i="6"/>
  <c r="G152" i="6"/>
  <c r="G149" i="6"/>
  <c r="G155" i="6"/>
  <c r="G151" i="6"/>
  <c r="F149" i="6"/>
  <c r="G145" i="6"/>
  <c r="F157" i="6"/>
  <c r="G154" i="6"/>
  <c r="G147" i="6"/>
  <c r="G146" i="6"/>
  <c r="G153" i="6"/>
  <c r="F147" i="6"/>
  <c r="G150" i="6"/>
  <c r="G148" i="6"/>
  <c r="D20" i="6"/>
  <c r="D21" i="6" s="1"/>
  <c r="F156" i="6"/>
  <c r="F146" i="6"/>
  <c r="L155" i="6" s="1"/>
  <c r="F118" i="6"/>
  <c r="F126" i="6"/>
  <c r="B42" i="6"/>
  <c r="J45" i="6"/>
  <c r="J44" i="6"/>
  <c r="J49" i="6"/>
  <c r="J43" i="6"/>
  <c r="J47" i="6"/>
  <c r="J46" i="6"/>
  <c r="J48" i="6"/>
  <c r="J50" i="6"/>
  <c r="L45" i="6"/>
  <c r="N45" i="6" s="1"/>
  <c r="F96" i="6"/>
  <c r="L50" i="6"/>
  <c r="N50" i="6" s="1"/>
  <c r="F124" i="6"/>
  <c r="I208" i="6"/>
  <c r="I207" i="6" s="1"/>
  <c r="H29" i="6"/>
  <c r="N43" i="6"/>
  <c r="G199" i="6"/>
  <c r="G197" i="6"/>
  <c r="G192" i="6"/>
  <c r="G191" i="6"/>
  <c r="F199" i="6"/>
  <c r="F197" i="6"/>
  <c r="G195" i="6"/>
  <c r="G193" i="6"/>
  <c r="F192" i="6"/>
  <c r="F191" i="6"/>
  <c r="L195" i="6" s="1"/>
  <c r="F202" i="6"/>
  <c r="G200" i="6"/>
  <c r="G198" i="6"/>
  <c r="G196" i="6"/>
  <c r="G194" i="6"/>
  <c r="F200" i="6"/>
  <c r="F198" i="6"/>
  <c r="F194" i="6"/>
  <c r="G190" i="6"/>
  <c r="F196" i="6"/>
  <c r="H194" i="6" s="1"/>
  <c r="I194" i="6" s="1"/>
  <c r="G20" i="6"/>
  <c r="G21" i="6" s="1"/>
  <c r="F172" i="6"/>
  <c r="G170" i="6"/>
  <c r="G168" i="6"/>
  <c r="G166" i="6"/>
  <c r="G164" i="6"/>
  <c r="F170" i="6"/>
  <c r="F168" i="6"/>
  <c r="F166" i="6"/>
  <c r="F164" i="6"/>
  <c r="G169" i="6"/>
  <c r="G167" i="6"/>
  <c r="G162" i="6"/>
  <c r="G161" i="6"/>
  <c r="G165" i="6"/>
  <c r="G163" i="6"/>
  <c r="F169" i="6"/>
  <c r="F161" i="6"/>
  <c r="L168" i="6" s="1"/>
  <c r="F167" i="6"/>
  <c r="F162" i="6"/>
  <c r="L170" i="6" s="1"/>
  <c r="G160" i="6"/>
  <c r="E20" i="6"/>
  <c r="E21" i="6" s="1"/>
  <c r="F165" i="6"/>
  <c r="F185" i="6"/>
  <c r="F183" i="6"/>
  <c r="G175" i="6"/>
  <c r="B177" i="6" s="1"/>
  <c r="F186" i="6"/>
  <c r="G184" i="6"/>
  <c r="G182" i="6"/>
  <c r="G177" i="6"/>
  <c r="G176" i="6"/>
  <c r="F175" i="6"/>
  <c r="F184" i="6"/>
  <c r="F182" i="6"/>
  <c r="G180" i="6"/>
  <c r="G178" i="6"/>
  <c r="F187" i="6"/>
  <c r="G185" i="6"/>
  <c r="G183" i="6"/>
  <c r="G181" i="6"/>
  <c r="F180" i="6"/>
  <c r="G179" i="6"/>
  <c r="F178" i="6"/>
  <c r="F20" i="6"/>
  <c r="F21" i="6" s="1"/>
  <c r="F136" i="6"/>
  <c r="G109" i="6"/>
  <c r="G107" i="6"/>
  <c r="G105" i="6"/>
  <c r="F112" i="6"/>
  <c r="G110" i="6"/>
  <c r="G108" i="6"/>
  <c r="G106" i="6"/>
  <c r="F108" i="6"/>
  <c r="F104" i="6"/>
  <c r="F102" i="6"/>
  <c r="G100" i="6"/>
  <c r="F107" i="6"/>
  <c r="G103" i="6"/>
  <c r="F100" i="6"/>
  <c r="F109" i="6"/>
  <c r="G102" i="6"/>
  <c r="G14" i="6"/>
  <c r="G15" i="6" s="1"/>
  <c r="F110" i="6"/>
  <c r="G101" i="6"/>
  <c r="B102" i="6" s="1"/>
  <c r="F106" i="6"/>
  <c r="F103" i="6"/>
  <c r="F105" i="6"/>
  <c r="G104" i="6"/>
  <c r="F101" i="6"/>
  <c r="L47" i="6"/>
  <c r="N47" i="6" s="1"/>
  <c r="F150" i="6"/>
  <c r="F89" i="6"/>
  <c r="L94" i="6" s="1"/>
  <c r="F181" i="6"/>
  <c r="F87" i="6"/>
  <c r="K46" i="7" l="1"/>
  <c r="J61" i="7"/>
  <c r="O43" i="7"/>
  <c r="Q43" i="7" s="1"/>
  <c r="J48" i="7"/>
  <c r="L110" i="7"/>
  <c r="L108" i="7"/>
  <c r="L106" i="7"/>
  <c r="L104" i="7"/>
  <c r="L103" i="7"/>
  <c r="L107" i="7"/>
  <c r="L109" i="7"/>
  <c r="L105" i="7"/>
  <c r="I208" i="7"/>
  <c r="I207" i="7" s="1"/>
  <c r="N61" i="7"/>
  <c r="L185" i="7"/>
  <c r="L183" i="7"/>
  <c r="L181" i="7"/>
  <c r="L182" i="7"/>
  <c r="L180" i="7"/>
  <c r="L179" i="7"/>
  <c r="L178" i="7"/>
  <c r="L184" i="7"/>
  <c r="H149" i="7"/>
  <c r="N134" i="7"/>
  <c r="J135" i="7"/>
  <c r="J133" i="7"/>
  <c r="J140" i="7"/>
  <c r="J138" i="7"/>
  <c r="J136" i="7"/>
  <c r="J134" i="7"/>
  <c r="J139" i="7"/>
  <c r="J137" i="7"/>
  <c r="J49" i="7"/>
  <c r="J44" i="7"/>
  <c r="N47" i="7"/>
  <c r="B102" i="7"/>
  <c r="N45" i="7"/>
  <c r="N58" i="7"/>
  <c r="H179" i="7"/>
  <c r="N46" i="7"/>
  <c r="N135" i="7"/>
  <c r="L165" i="7"/>
  <c r="L163" i="7"/>
  <c r="L170" i="7"/>
  <c r="L168" i="7"/>
  <c r="L166" i="7"/>
  <c r="L164" i="7"/>
  <c r="L169" i="7"/>
  <c r="L167" i="7"/>
  <c r="J60" i="7"/>
  <c r="K45" i="7"/>
  <c r="H89" i="7"/>
  <c r="L153" i="7"/>
  <c r="L152" i="7"/>
  <c r="L149" i="7"/>
  <c r="L155" i="7"/>
  <c r="L154" i="7"/>
  <c r="L150" i="7"/>
  <c r="L148" i="7"/>
  <c r="L151" i="7"/>
  <c r="N133" i="7"/>
  <c r="H164" i="7"/>
  <c r="K43" i="7"/>
  <c r="P43" i="7" s="1"/>
  <c r="J58" i="7"/>
  <c r="J50" i="7"/>
  <c r="N49" i="7"/>
  <c r="I194" i="7"/>
  <c r="N48" i="7"/>
  <c r="B87" i="7"/>
  <c r="L94" i="7"/>
  <c r="L92" i="7"/>
  <c r="L89" i="7"/>
  <c r="L90" i="7"/>
  <c r="L88" i="7"/>
  <c r="L95" i="7"/>
  <c r="L91" i="7"/>
  <c r="L93" i="7"/>
  <c r="N136" i="7"/>
  <c r="N137" i="7"/>
  <c r="H119" i="7"/>
  <c r="J47" i="7"/>
  <c r="H104" i="7"/>
  <c r="N60" i="7"/>
  <c r="O50" i="6"/>
  <c r="Q50" i="6" s="1"/>
  <c r="K49" i="6"/>
  <c r="J64" i="6"/>
  <c r="L167" i="6"/>
  <c r="J140" i="6"/>
  <c r="J138" i="6"/>
  <c r="J136" i="6"/>
  <c r="J139" i="6"/>
  <c r="J137" i="6"/>
  <c r="J134" i="6"/>
  <c r="J133" i="6"/>
  <c r="J135" i="6"/>
  <c r="N48" i="6"/>
  <c r="L139" i="6"/>
  <c r="N139" i="6" s="1"/>
  <c r="L137" i="6"/>
  <c r="N137" i="6" s="1"/>
  <c r="L134" i="6"/>
  <c r="N134" i="6" s="1"/>
  <c r="L135" i="6"/>
  <c r="N135" i="6" s="1"/>
  <c r="L133" i="6"/>
  <c r="L140" i="6"/>
  <c r="N140" i="6" s="1"/>
  <c r="L138" i="6"/>
  <c r="N138" i="6" s="1"/>
  <c r="L136" i="6"/>
  <c r="N136" i="6" s="1"/>
  <c r="H149" i="6"/>
  <c r="H104" i="6"/>
  <c r="I104" i="6" s="1"/>
  <c r="H164" i="6"/>
  <c r="B192" i="6"/>
  <c r="K46" i="6"/>
  <c r="J61" i="6"/>
  <c r="J59" i="6"/>
  <c r="K44" i="6"/>
  <c r="B147" i="6"/>
  <c r="L198" i="6"/>
  <c r="L197" i="6"/>
  <c r="L169" i="6"/>
  <c r="L163" i="6"/>
  <c r="L92" i="6"/>
  <c r="L91" i="6"/>
  <c r="N62" i="6"/>
  <c r="H134" i="6"/>
  <c r="I134" i="6" s="1"/>
  <c r="L151" i="6"/>
  <c r="L154" i="6"/>
  <c r="L185" i="6"/>
  <c r="L183" i="6"/>
  <c r="L181" i="6"/>
  <c r="L184" i="6"/>
  <c r="L182" i="6"/>
  <c r="L179" i="6"/>
  <c r="L180" i="6"/>
  <c r="L178" i="6"/>
  <c r="O43" i="6"/>
  <c r="Q43" i="6" s="1"/>
  <c r="L196" i="6"/>
  <c r="I164" i="6"/>
  <c r="I119" i="6"/>
  <c r="I149" i="6"/>
  <c r="I74" i="6"/>
  <c r="I44" i="6"/>
  <c r="I59" i="6"/>
  <c r="O45" i="6"/>
  <c r="Q45" i="6" s="1"/>
  <c r="K47" i="6"/>
  <c r="P47" i="6" s="1"/>
  <c r="J62" i="6"/>
  <c r="K45" i="6"/>
  <c r="P45" i="6" s="1"/>
  <c r="J60" i="6"/>
  <c r="L193" i="6"/>
  <c r="L199" i="6"/>
  <c r="L166" i="6"/>
  <c r="L165" i="6"/>
  <c r="L88" i="6"/>
  <c r="L93" i="6"/>
  <c r="N59" i="6"/>
  <c r="H89" i="6"/>
  <c r="I89" i="6" s="1"/>
  <c r="H119" i="6"/>
  <c r="L149" i="6"/>
  <c r="L153" i="6"/>
  <c r="J63" i="6"/>
  <c r="N63" i="6" s="1"/>
  <c r="K48" i="6"/>
  <c r="L90" i="6"/>
  <c r="N65" i="6"/>
  <c r="O47" i="6"/>
  <c r="Q47" i="6" s="1"/>
  <c r="L110" i="6"/>
  <c r="L106" i="6"/>
  <c r="L109" i="6"/>
  <c r="L105" i="6"/>
  <c r="L107" i="6"/>
  <c r="L108" i="6"/>
  <c r="L103" i="6"/>
  <c r="L104" i="6"/>
  <c r="H179" i="6"/>
  <c r="I179" i="6" s="1"/>
  <c r="B162" i="6"/>
  <c r="J65" i="6"/>
  <c r="K50" i="6"/>
  <c r="P50" i="6" s="1"/>
  <c r="K43" i="6"/>
  <c r="P43" i="6" s="1"/>
  <c r="J58" i="6"/>
  <c r="L200" i="6"/>
  <c r="L164" i="6"/>
  <c r="N46" i="6"/>
  <c r="L89" i="6"/>
  <c r="N58" i="6"/>
  <c r="N60" i="6"/>
  <c r="B87" i="6"/>
  <c r="N44" i="6"/>
  <c r="L148" i="6"/>
  <c r="N49" i="6"/>
  <c r="N148" i="7" l="1"/>
  <c r="O135" i="7"/>
  <c r="Q135" i="7" s="1"/>
  <c r="R135" i="7"/>
  <c r="P135" i="7"/>
  <c r="R58" i="7"/>
  <c r="O58" i="7"/>
  <c r="Q58" i="7" s="1"/>
  <c r="J152" i="7"/>
  <c r="K137" i="7"/>
  <c r="P137" i="7" s="1"/>
  <c r="K138" i="7"/>
  <c r="J153" i="7"/>
  <c r="R61" i="7"/>
  <c r="O61" i="7"/>
  <c r="Q61" i="7" s="1"/>
  <c r="O60" i="7"/>
  <c r="Q60" i="7" s="1"/>
  <c r="N152" i="7"/>
  <c r="P46" i="7"/>
  <c r="O46" i="7"/>
  <c r="Q46" i="7" s="1"/>
  <c r="R46" i="7"/>
  <c r="R47" i="7"/>
  <c r="O47" i="7"/>
  <c r="Q47" i="7" s="1"/>
  <c r="K140" i="7"/>
  <c r="J155" i="7"/>
  <c r="N140" i="7"/>
  <c r="J62" i="7"/>
  <c r="K47" i="7"/>
  <c r="P47" i="7" s="1"/>
  <c r="R49" i="7"/>
  <c r="O49" i="7"/>
  <c r="Q49" i="7" s="1"/>
  <c r="K50" i="7"/>
  <c r="J65" i="7"/>
  <c r="N50" i="7"/>
  <c r="O133" i="7"/>
  <c r="Q133" i="7" s="1"/>
  <c r="R133" i="7"/>
  <c r="P133" i="7"/>
  <c r="N153" i="7"/>
  <c r="K44" i="7"/>
  <c r="J59" i="7"/>
  <c r="J149" i="7"/>
  <c r="K134" i="7"/>
  <c r="P134" i="7" s="1"/>
  <c r="K133" i="7"/>
  <c r="J148" i="7"/>
  <c r="N44" i="7"/>
  <c r="J76" i="7"/>
  <c r="K61" i="7"/>
  <c r="P61" i="7" s="1"/>
  <c r="O137" i="7"/>
  <c r="Q137" i="7" s="1"/>
  <c r="O48" i="7"/>
  <c r="Q48" i="7" s="1"/>
  <c r="R48" i="7"/>
  <c r="N149" i="7"/>
  <c r="O134" i="7"/>
  <c r="Q134" i="7" s="1"/>
  <c r="K48" i="7"/>
  <c r="P48" i="7" s="1"/>
  <c r="J63" i="7"/>
  <c r="O136" i="7"/>
  <c r="Q136" i="7" s="1"/>
  <c r="R136" i="7"/>
  <c r="R45" i="7"/>
  <c r="P45" i="7"/>
  <c r="O45" i="7"/>
  <c r="Q45" i="7" s="1"/>
  <c r="K139" i="7"/>
  <c r="J154" i="7"/>
  <c r="I179" i="7"/>
  <c r="I134" i="7"/>
  <c r="I164" i="7"/>
  <c r="I149" i="7"/>
  <c r="I119" i="7"/>
  <c r="I59" i="7"/>
  <c r="I104" i="7"/>
  <c r="I74" i="7"/>
  <c r="I44" i="7"/>
  <c r="I89" i="7"/>
  <c r="N139" i="7"/>
  <c r="J73" i="7"/>
  <c r="K58" i="7"/>
  <c r="P58" i="7" s="1"/>
  <c r="K60" i="7"/>
  <c r="P60" i="7" s="1"/>
  <c r="J75" i="7"/>
  <c r="J64" i="7"/>
  <c r="K49" i="7"/>
  <c r="P49" i="7" s="1"/>
  <c r="K136" i="7"/>
  <c r="P136" i="7" s="1"/>
  <c r="J151" i="7"/>
  <c r="J150" i="7"/>
  <c r="K135" i="7"/>
  <c r="N138" i="7"/>
  <c r="R43" i="7"/>
  <c r="O63" i="6"/>
  <c r="Q63" i="6" s="1"/>
  <c r="R63" i="6"/>
  <c r="P58" i="6"/>
  <c r="O58" i="6"/>
  <c r="Q58" i="6" s="1"/>
  <c r="O65" i="6"/>
  <c r="Q65" i="6" s="1"/>
  <c r="R135" i="6"/>
  <c r="P135" i="6"/>
  <c r="O135" i="6"/>
  <c r="Q135" i="6" s="1"/>
  <c r="J151" i="6"/>
  <c r="K136" i="6"/>
  <c r="R44" i="6"/>
  <c r="P44" i="6"/>
  <c r="O44" i="6"/>
  <c r="Q44" i="6" s="1"/>
  <c r="O59" i="6"/>
  <c r="Q59" i="6" s="1"/>
  <c r="N151" i="6"/>
  <c r="O134" i="6"/>
  <c r="Q134" i="6" s="1"/>
  <c r="R134" i="6"/>
  <c r="J149" i="6"/>
  <c r="K134" i="6"/>
  <c r="P134" i="6" s="1"/>
  <c r="J79" i="6"/>
  <c r="K64" i="6"/>
  <c r="K65" i="6"/>
  <c r="P65" i="6" s="1"/>
  <c r="J80" i="6"/>
  <c r="R47" i="6"/>
  <c r="O140" i="6"/>
  <c r="Q140" i="6" s="1"/>
  <c r="P140" i="6"/>
  <c r="O137" i="6"/>
  <c r="Q137" i="6" s="1"/>
  <c r="J152" i="6"/>
  <c r="K137" i="6"/>
  <c r="P137" i="6" s="1"/>
  <c r="J155" i="6"/>
  <c r="K140" i="6"/>
  <c r="N148" i="6"/>
  <c r="O46" i="6"/>
  <c r="Q46" i="6" s="1"/>
  <c r="P46" i="6"/>
  <c r="K63" i="6"/>
  <c r="P63" i="6" s="1"/>
  <c r="J78" i="6"/>
  <c r="O62" i="6"/>
  <c r="Q62" i="6" s="1"/>
  <c r="K61" i="6"/>
  <c r="J76" i="6"/>
  <c r="O136" i="6"/>
  <c r="Q136" i="6" s="1"/>
  <c r="R136" i="6"/>
  <c r="P136" i="6"/>
  <c r="N61" i="6"/>
  <c r="J148" i="6"/>
  <c r="K133" i="6"/>
  <c r="N153" i="6"/>
  <c r="J77" i="6"/>
  <c r="K62" i="6"/>
  <c r="P62" i="6" s="1"/>
  <c r="O138" i="6"/>
  <c r="Q138" i="6" s="1"/>
  <c r="R138" i="6"/>
  <c r="R48" i="6"/>
  <c r="P48" i="6"/>
  <c r="O48" i="6"/>
  <c r="Q48" i="6" s="1"/>
  <c r="J153" i="6"/>
  <c r="K138" i="6"/>
  <c r="P138" i="6" s="1"/>
  <c r="R50" i="6"/>
  <c r="P49" i="6"/>
  <c r="O49" i="6"/>
  <c r="Q49" i="6" s="1"/>
  <c r="O60" i="6"/>
  <c r="Q60" i="6" s="1"/>
  <c r="K58" i="6"/>
  <c r="J73" i="6"/>
  <c r="J75" i="6"/>
  <c r="K60" i="6"/>
  <c r="P60" i="6" s="1"/>
  <c r="R45" i="6"/>
  <c r="R43" i="6"/>
  <c r="N64" i="6"/>
  <c r="K59" i="6"/>
  <c r="P59" i="6" s="1"/>
  <c r="J74" i="6"/>
  <c r="N133" i="6"/>
  <c r="O139" i="6"/>
  <c r="Q139" i="6" s="1"/>
  <c r="R139" i="6"/>
  <c r="J150" i="6"/>
  <c r="K135" i="6"/>
  <c r="J154" i="6"/>
  <c r="K139" i="6"/>
  <c r="P139" i="6" s="1"/>
  <c r="J170" i="7" l="1"/>
  <c r="K155" i="7"/>
  <c r="R152" i="7"/>
  <c r="O152" i="7"/>
  <c r="Q152" i="7" s="1"/>
  <c r="K151" i="7"/>
  <c r="J166" i="7"/>
  <c r="J164" i="7"/>
  <c r="K149" i="7"/>
  <c r="O148" i="7"/>
  <c r="Q148" i="7" s="1"/>
  <c r="P138" i="7"/>
  <c r="O138" i="7"/>
  <c r="Q138" i="7" s="1"/>
  <c r="R138" i="7"/>
  <c r="N151" i="7"/>
  <c r="R134" i="7"/>
  <c r="R137" i="7"/>
  <c r="J163" i="7"/>
  <c r="K148" i="7"/>
  <c r="P148" i="7" s="1"/>
  <c r="J74" i="7"/>
  <c r="K59" i="7"/>
  <c r="N59" i="7"/>
  <c r="R153" i="7"/>
  <c r="O153" i="7"/>
  <c r="Q153" i="7" s="1"/>
  <c r="K153" i="7"/>
  <c r="P153" i="7" s="1"/>
  <c r="J168" i="7"/>
  <c r="J165" i="7"/>
  <c r="K150" i="7"/>
  <c r="K64" i="7"/>
  <c r="J79" i="7"/>
  <c r="N64" i="7"/>
  <c r="K73" i="7"/>
  <c r="J88" i="7"/>
  <c r="N73" i="7"/>
  <c r="J169" i="7"/>
  <c r="K154" i="7"/>
  <c r="P149" i="7"/>
  <c r="R149" i="7"/>
  <c r="O149" i="7"/>
  <c r="Q149" i="7" s="1"/>
  <c r="J91" i="7"/>
  <c r="K76" i="7"/>
  <c r="N76" i="7"/>
  <c r="J80" i="7"/>
  <c r="K65" i="7"/>
  <c r="N65" i="7"/>
  <c r="K62" i="7"/>
  <c r="J77" i="7"/>
  <c r="N62" i="7"/>
  <c r="N155" i="7"/>
  <c r="P44" i="7"/>
  <c r="O44" i="7"/>
  <c r="Q44" i="7" s="1"/>
  <c r="R44" i="7"/>
  <c r="J167" i="7"/>
  <c r="K152" i="7"/>
  <c r="P152" i="7" s="1"/>
  <c r="J90" i="7"/>
  <c r="K75" i="7"/>
  <c r="N75" i="7"/>
  <c r="R139" i="7"/>
  <c r="O139" i="7"/>
  <c r="Q139" i="7" s="1"/>
  <c r="P139" i="7"/>
  <c r="N150" i="7"/>
  <c r="J78" i="7"/>
  <c r="K63" i="7"/>
  <c r="N63" i="7"/>
  <c r="N154" i="7"/>
  <c r="P50" i="7"/>
  <c r="O50" i="7"/>
  <c r="Q50" i="7" s="1"/>
  <c r="R50" i="7"/>
  <c r="P140" i="7"/>
  <c r="O140" i="7"/>
  <c r="Q140" i="7" s="1"/>
  <c r="R60" i="7"/>
  <c r="J89" i="6"/>
  <c r="K74" i="6"/>
  <c r="N74" i="6"/>
  <c r="O153" i="6"/>
  <c r="Q153" i="6" s="1"/>
  <c r="J169" i="6"/>
  <c r="K154" i="6"/>
  <c r="R49" i="6"/>
  <c r="K153" i="6"/>
  <c r="P153" i="6" s="1"/>
  <c r="J168" i="6"/>
  <c r="R62" i="6"/>
  <c r="R46" i="6"/>
  <c r="J164" i="6"/>
  <c r="K149" i="6"/>
  <c r="R64" i="6"/>
  <c r="O64" i="6"/>
  <c r="Q64" i="6" s="1"/>
  <c r="P64" i="6"/>
  <c r="P61" i="6"/>
  <c r="O61" i="6"/>
  <c r="Q61" i="6" s="1"/>
  <c r="J91" i="6"/>
  <c r="K76" i="6"/>
  <c r="N76" i="6"/>
  <c r="K155" i="6"/>
  <c r="J170" i="6"/>
  <c r="N155" i="6"/>
  <c r="K75" i="6"/>
  <c r="J90" i="6"/>
  <c r="N75" i="6"/>
  <c r="J88" i="6"/>
  <c r="K73" i="6"/>
  <c r="N73" i="6"/>
  <c r="J92" i="6"/>
  <c r="K77" i="6"/>
  <c r="N77" i="6"/>
  <c r="O148" i="6"/>
  <c r="Q148" i="6" s="1"/>
  <c r="R148" i="6"/>
  <c r="J167" i="6"/>
  <c r="K152" i="6"/>
  <c r="N152" i="6"/>
  <c r="N149" i="6"/>
  <c r="O151" i="6"/>
  <c r="Q151" i="6" s="1"/>
  <c r="P151" i="6"/>
  <c r="R59" i="6"/>
  <c r="J166" i="6"/>
  <c r="K151" i="6"/>
  <c r="J165" i="6"/>
  <c r="K150" i="6"/>
  <c r="N150" i="6"/>
  <c r="P133" i="6"/>
  <c r="O133" i="6"/>
  <c r="Q133" i="6" s="1"/>
  <c r="R60" i="6"/>
  <c r="J163" i="6"/>
  <c r="K148" i="6"/>
  <c r="P148" i="6" s="1"/>
  <c r="J93" i="6"/>
  <c r="K78" i="6"/>
  <c r="N78" i="6"/>
  <c r="R137" i="6"/>
  <c r="R140" i="6"/>
  <c r="K80" i="6"/>
  <c r="J95" i="6"/>
  <c r="N80" i="6"/>
  <c r="J94" i="6"/>
  <c r="K79" i="6"/>
  <c r="N79" i="6"/>
  <c r="N154" i="6"/>
  <c r="R65" i="6"/>
  <c r="R58" i="6"/>
  <c r="P73" i="7" l="1"/>
  <c r="O73" i="7"/>
  <c r="Q73" i="7" s="1"/>
  <c r="R73" i="7"/>
  <c r="J183" i="7"/>
  <c r="K168" i="7"/>
  <c r="N168" i="7"/>
  <c r="R151" i="7"/>
  <c r="P151" i="7"/>
  <c r="O151" i="7"/>
  <c r="Q151" i="7" s="1"/>
  <c r="P154" i="7"/>
  <c r="O154" i="7"/>
  <c r="Q154" i="7" s="1"/>
  <c r="P75" i="7"/>
  <c r="O75" i="7"/>
  <c r="Q75" i="7" s="1"/>
  <c r="J182" i="7"/>
  <c r="K167" i="7"/>
  <c r="N167" i="7"/>
  <c r="R65" i="7"/>
  <c r="P65" i="7"/>
  <c r="O65" i="7"/>
  <c r="Q65" i="7" s="1"/>
  <c r="J103" i="7"/>
  <c r="K88" i="7"/>
  <c r="N88" i="7"/>
  <c r="J178" i="7"/>
  <c r="K163" i="7"/>
  <c r="N163" i="7"/>
  <c r="R63" i="7"/>
  <c r="P63" i="7"/>
  <c r="O63" i="7"/>
  <c r="Q63" i="7" s="1"/>
  <c r="P62" i="7"/>
  <c r="O62" i="7"/>
  <c r="Q62" i="7" s="1"/>
  <c r="J106" i="7"/>
  <c r="K91" i="7"/>
  <c r="N91" i="7"/>
  <c r="R148" i="7"/>
  <c r="J93" i="7"/>
  <c r="K78" i="7"/>
  <c r="N78" i="7"/>
  <c r="P76" i="7"/>
  <c r="O76" i="7"/>
  <c r="Q76" i="7" s="1"/>
  <c r="R76" i="7"/>
  <c r="K79" i="7"/>
  <c r="J94" i="7"/>
  <c r="N79" i="7"/>
  <c r="J179" i="7"/>
  <c r="K164" i="7"/>
  <c r="N164" i="7"/>
  <c r="O150" i="7"/>
  <c r="Q150" i="7" s="1"/>
  <c r="P150" i="7"/>
  <c r="O155" i="7"/>
  <c r="Q155" i="7" s="1"/>
  <c r="P155" i="7"/>
  <c r="R59" i="7"/>
  <c r="P59" i="7"/>
  <c r="O59" i="7"/>
  <c r="Q59" i="7" s="1"/>
  <c r="K166" i="7"/>
  <c r="J181" i="7"/>
  <c r="N166" i="7"/>
  <c r="R140" i="7"/>
  <c r="J105" i="7"/>
  <c r="K90" i="7"/>
  <c r="N90" i="7"/>
  <c r="K77" i="7"/>
  <c r="J92" i="7"/>
  <c r="N77" i="7"/>
  <c r="J95" i="7"/>
  <c r="K80" i="7"/>
  <c r="N80" i="7"/>
  <c r="J184" i="7"/>
  <c r="K169" i="7"/>
  <c r="N169" i="7"/>
  <c r="P64" i="7"/>
  <c r="O64" i="7"/>
  <c r="Q64" i="7" s="1"/>
  <c r="J180" i="7"/>
  <c r="K165" i="7"/>
  <c r="N165" i="7"/>
  <c r="K74" i="7"/>
  <c r="J89" i="7"/>
  <c r="N74" i="7"/>
  <c r="K170" i="7"/>
  <c r="J185" i="7"/>
  <c r="N170" i="7"/>
  <c r="J181" i="6"/>
  <c r="K166" i="6"/>
  <c r="N166" i="6"/>
  <c r="J182" i="6"/>
  <c r="K167" i="6"/>
  <c r="N167" i="6"/>
  <c r="K94" i="6"/>
  <c r="J109" i="6"/>
  <c r="N94" i="6"/>
  <c r="K93" i="6"/>
  <c r="J108" i="6"/>
  <c r="N93" i="6"/>
  <c r="P149" i="6"/>
  <c r="O149" i="6"/>
  <c r="Q149" i="6" s="1"/>
  <c r="R149" i="6"/>
  <c r="J103" i="6"/>
  <c r="K88" i="6"/>
  <c r="N88" i="6"/>
  <c r="O155" i="6"/>
  <c r="Q155" i="6" s="1"/>
  <c r="R155" i="6"/>
  <c r="P155" i="6"/>
  <c r="J183" i="6"/>
  <c r="K168" i="6"/>
  <c r="N168" i="6"/>
  <c r="J184" i="6"/>
  <c r="K169" i="6"/>
  <c r="N169" i="6"/>
  <c r="R74" i="6"/>
  <c r="O74" i="6"/>
  <c r="Q74" i="6" s="1"/>
  <c r="P74" i="6"/>
  <c r="P150" i="6"/>
  <c r="O150" i="6"/>
  <c r="Q150" i="6" s="1"/>
  <c r="P77" i="6"/>
  <c r="O77" i="6"/>
  <c r="Q77" i="6" s="1"/>
  <c r="R77" i="6"/>
  <c r="P76" i="6"/>
  <c r="O76" i="6"/>
  <c r="Q76" i="6" s="1"/>
  <c r="O154" i="6"/>
  <c r="Q154" i="6" s="1"/>
  <c r="P154" i="6"/>
  <c r="R80" i="6"/>
  <c r="P80" i="6"/>
  <c r="O80" i="6"/>
  <c r="Q80" i="6" s="1"/>
  <c r="J180" i="6"/>
  <c r="K165" i="6"/>
  <c r="N165" i="6"/>
  <c r="O152" i="6"/>
  <c r="Q152" i="6" s="1"/>
  <c r="R152" i="6"/>
  <c r="P152" i="6"/>
  <c r="J107" i="6"/>
  <c r="K92" i="6"/>
  <c r="N92" i="6"/>
  <c r="P75" i="6"/>
  <c r="O75" i="6"/>
  <c r="Q75" i="6" s="1"/>
  <c r="J185" i="6"/>
  <c r="K170" i="6"/>
  <c r="N170" i="6"/>
  <c r="J106" i="6"/>
  <c r="K91" i="6"/>
  <c r="N91" i="6"/>
  <c r="J179" i="6"/>
  <c r="K164" i="6"/>
  <c r="N164" i="6"/>
  <c r="R153" i="6"/>
  <c r="P79" i="6"/>
  <c r="O79" i="6"/>
  <c r="Q79" i="6" s="1"/>
  <c r="R79" i="6"/>
  <c r="J110" i="6"/>
  <c r="K95" i="6"/>
  <c r="N95" i="6"/>
  <c r="O78" i="6"/>
  <c r="Q78" i="6" s="1"/>
  <c r="P78" i="6"/>
  <c r="J178" i="6"/>
  <c r="K163" i="6"/>
  <c r="N163" i="6"/>
  <c r="R133" i="6"/>
  <c r="R151" i="6"/>
  <c r="P73" i="6"/>
  <c r="O73" i="6"/>
  <c r="Q73" i="6" s="1"/>
  <c r="K90" i="6"/>
  <c r="J105" i="6"/>
  <c r="N90" i="6"/>
  <c r="R61" i="6"/>
  <c r="J104" i="6"/>
  <c r="K89" i="6"/>
  <c r="N89" i="6"/>
  <c r="J199" i="7" l="1"/>
  <c r="K184" i="7"/>
  <c r="N184" i="7"/>
  <c r="O91" i="7"/>
  <c r="Q91" i="7" s="1"/>
  <c r="P91" i="7"/>
  <c r="R88" i="7"/>
  <c r="P88" i="7"/>
  <c r="O88" i="7"/>
  <c r="Q88" i="7" s="1"/>
  <c r="J198" i="7"/>
  <c r="K183" i="7"/>
  <c r="N183" i="7"/>
  <c r="J107" i="7"/>
  <c r="K92" i="7"/>
  <c r="N92" i="7"/>
  <c r="K105" i="7"/>
  <c r="N105" i="7"/>
  <c r="J194" i="7"/>
  <c r="K179" i="7"/>
  <c r="N179" i="7"/>
  <c r="P163" i="7"/>
  <c r="O163" i="7"/>
  <c r="Q163" i="7" s="1"/>
  <c r="R154" i="7"/>
  <c r="P170" i="7"/>
  <c r="O170" i="7"/>
  <c r="Q170" i="7" s="1"/>
  <c r="K89" i="7"/>
  <c r="J104" i="7"/>
  <c r="N89" i="7"/>
  <c r="J195" i="7"/>
  <c r="K180" i="7"/>
  <c r="N180" i="7"/>
  <c r="P169" i="7"/>
  <c r="O169" i="7"/>
  <c r="Q169" i="7" s="1"/>
  <c r="R169" i="7"/>
  <c r="R150" i="7"/>
  <c r="P79" i="7"/>
  <c r="O79" i="7"/>
  <c r="Q79" i="7" s="1"/>
  <c r="K93" i="7"/>
  <c r="J108" i="7"/>
  <c r="N93" i="7"/>
  <c r="K106" i="7"/>
  <c r="N106" i="7"/>
  <c r="K103" i="7"/>
  <c r="N103" i="7"/>
  <c r="P167" i="7"/>
  <c r="O167" i="7"/>
  <c r="Q167" i="7" s="1"/>
  <c r="R167" i="7"/>
  <c r="R168" i="7"/>
  <c r="P168" i="7"/>
  <c r="O168" i="7"/>
  <c r="Q168" i="7" s="1"/>
  <c r="P165" i="7"/>
  <c r="O165" i="7"/>
  <c r="Q165" i="7" s="1"/>
  <c r="R165" i="7"/>
  <c r="P77" i="7"/>
  <c r="O77" i="7"/>
  <c r="Q77" i="7" s="1"/>
  <c r="J196" i="7"/>
  <c r="K181" i="7"/>
  <c r="N181" i="7"/>
  <c r="P78" i="7"/>
  <c r="O78" i="7"/>
  <c r="Q78" i="7" s="1"/>
  <c r="J197" i="7"/>
  <c r="K182" i="7"/>
  <c r="N182" i="7"/>
  <c r="P74" i="7"/>
  <c r="O74" i="7"/>
  <c r="Q74" i="7" s="1"/>
  <c r="R74" i="7"/>
  <c r="P80" i="7"/>
  <c r="O80" i="7"/>
  <c r="Q80" i="7" s="1"/>
  <c r="R80" i="7"/>
  <c r="J200" i="7"/>
  <c r="K185" i="7"/>
  <c r="N185" i="7"/>
  <c r="R64" i="7"/>
  <c r="K95" i="7"/>
  <c r="J110" i="7"/>
  <c r="N95" i="7"/>
  <c r="O90" i="7"/>
  <c r="Q90" i="7" s="1"/>
  <c r="P90" i="7"/>
  <c r="P166" i="7"/>
  <c r="O166" i="7"/>
  <c r="Q166" i="7" s="1"/>
  <c r="R155" i="7"/>
  <c r="P164" i="7"/>
  <c r="O164" i="7"/>
  <c r="Q164" i="7" s="1"/>
  <c r="R164" i="7"/>
  <c r="J109" i="7"/>
  <c r="K94" i="7"/>
  <c r="N94" i="7"/>
  <c r="R62" i="7"/>
  <c r="J193" i="7"/>
  <c r="K178" i="7"/>
  <c r="N178" i="7"/>
  <c r="R75" i="7"/>
  <c r="R170" i="6"/>
  <c r="P170" i="6"/>
  <c r="O170" i="6"/>
  <c r="Q170" i="6" s="1"/>
  <c r="R168" i="6"/>
  <c r="P168" i="6"/>
  <c r="O168" i="6"/>
  <c r="Q168" i="6" s="1"/>
  <c r="P93" i="6"/>
  <c r="R93" i="6"/>
  <c r="O93" i="6"/>
  <c r="Q93" i="6" s="1"/>
  <c r="P90" i="6"/>
  <c r="O90" i="6"/>
  <c r="Q90" i="6" s="1"/>
  <c r="R90" i="6"/>
  <c r="P163" i="6"/>
  <c r="O163" i="6"/>
  <c r="Q163" i="6" s="1"/>
  <c r="K110" i="6"/>
  <c r="N110" i="6"/>
  <c r="P91" i="6"/>
  <c r="O91" i="6"/>
  <c r="Q91" i="6" s="1"/>
  <c r="R91" i="6"/>
  <c r="P169" i="6"/>
  <c r="O169" i="6"/>
  <c r="Q169" i="6" s="1"/>
  <c r="K108" i="6"/>
  <c r="N108" i="6"/>
  <c r="P166" i="6"/>
  <c r="O166" i="6"/>
  <c r="Q166" i="6" s="1"/>
  <c r="J194" i="6"/>
  <c r="K179" i="6"/>
  <c r="N179" i="6"/>
  <c r="P165" i="6"/>
  <c r="O165" i="6"/>
  <c r="Q165" i="6" s="1"/>
  <c r="J197" i="6"/>
  <c r="K182" i="6"/>
  <c r="N182" i="6"/>
  <c r="K105" i="6"/>
  <c r="N105" i="6"/>
  <c r="R73" i="6"/>
  <c r="R78" i="6"/>
  <c r="P164" i="6"/>
  <c r="O164" i="6"/>
  <c r="Q164" i="6" s="1"/>
  <c r="R164" i="6"/>
  <c r="J200" i="6"/>
  <c r="K185" i="6"/>
  <c r="N185" i="6"/>
  <c r="O92" i="6"/>
  <c r="Q92" i="6" s="1"/>
  <c r="P92" i="6"/>
  <c r="J195" i="6"/>
  <c r="K180" i="6"/>
  <c r="N180" i="6"/>
  <c r="J198" i="6"/>
  <c r="K183" i="6"/>
  <c r="N183" i="6"/>
  <c r="P88" i="6"/>
  <c r="O88" i="6"/>
  <c r="Q88" i="6" s="1"/>
  <c r="P167" i="6"/>
  <c r="O167" i="6"/>
  <c r="Q167" i="6" s="1"/>
  <c r="K107" i="6"/>
  <c r="N107" i="6"/>
  <c r="K103" i="6"/>
  <c r="N103" i="6"/>
  <c r="K109" i="6"/>
  <c r="N109" i="6"/>
  <c r="O89" i="6"/>
  <c r="Q89" i="6" s="1"/>
  <c r="R89" i="6"/>
  <c r="P89" i="6"/>
  <c r="K104" i="6"/>
  <c r="N104" i="6"/>
  <c r="J193" i="6"/>
  <c r="K178" i="6"/>
  <c r="N178" i="6"/>
  <c r="P95" i="6"/>
  <c r="O95" i="6"/>
  <c r="Q95" i="6" s="1"/>
  <c r="K106" i="6"/>
  <c r="N106" i="6"/>
  <c r="R75" i="6"/>
  <c r="R154" i="6"/>
  <c r="R76" i="6"/>
  <c r="R150" i="6"/>
  <c r="J199" i="6"/>
  <c r="K184" i="6"/>
  <c r="N184" i="6"/>
  <c r="O94" i="6"/>
  <c r="Q94" i="6" s="1"/>
  <c r="P94" i="6"/>
  <c r="J196" i="6"/>
  <c r="K181" i="6"/>
  <c r="N181" i="6"/>
  <c r="K109" i="7" l="1"/>
  <c r="N109" i="7"/>
  <c r="O182" i="7"/>
  <c r="Q182" i="7" s="1"/>
  <c r="R182" i="7"/>
  <c r="P182" i="7"/>
  <c r="O179" i="7"/>
  <c r="Q179" i="7" s="1"/>
  <c r="R179" i="7"/>
  <c r="P179" i="7"/>
  <c r="P103" i="7"/>
  <c r="O103" i="7"/>
  <c r="Q103" i="7" s="1"/>
  <c r="P92" i="7"/>
  <c r="O92" i="7"/>
  <c r="Q92" i="7" s="1"/>
  <c r="R92" i="7"/>
  <c r="O184" i="7"/>
  <c r="Q184" i="7" s="1"/>
  <c r="R184" i="7"/>
  <c r="P184" i="7"/>
  <c r="P178" i="7"/>
  <c r="O178" i="7"/>
  <c r="Q178" i="7" s="1"/>
  <c r="R178" i="7"/>
  <c r="P94" i="7"/>
  <c r="O94" i="7"/>
  <c r="Q94" i="7" s="1"/>
  <c r="R90" i="7"/>
  <c r="K197" i="7"/>
  <c r="N197" i="7"/>
  <c r="P181" i="7"/>
  <c r="O181" i="7"/>
  <c r="Q181" i="7" s="1"/>
  <c r="K108" i="7"/>
  <c r="N108" i="7"/>
  <c r="R79" i="7"/>
  <c r="P89" i="7"/>
  <c r="O89" i="7"/>
  <c r="Q89" i="7" s="1"/>
  <c r="R163" i="7"/>
  <c r="K194" i="7"/>
  <c r="N194" i="7"/>
  <c r="K198" i="7"/>
  <c r="N198" i="7"/>
  <c r="K193" i="7"/>
  <c r="N193" i="7"/>
  <c r="K110" i="7"/>
  <c r="N110" i="7"/>
  <c r="K196" i="7"/>
  <c r="N196" i="7"/>
  <c r="P183" i="7"/>
  <c r="R183" i="7"/>
  <c r="O183" i="7"/>
  <c r="Q183" i="7" s="1"/>
  <c r="K200" i="7"/>
  <c r="N200" i="7"/>
  <c r="O93" i="7"/>
  <c r="Q93" i="7" s="1"/>
  <c r="P93" i="7"/>
  <c r="K195" i="7"/>
  <c r="N195" i="7"/>
  <c r="R166" i="7"/>
  <c r="O95" i="7"/>
  <c r="Q95" i="7" s="1"/>
  <c r="R95" i="7"/>
  <c r="P95" i="7"/>
  <c r="P185" i="7"/>
  <c r="O185" i="7"/>
  <c r="Q185" i="7" s="1"/>
  <c r="R185" i="7"/>
  <c r="R78" i="7"/>
  <c r="R77" i="7"/>
  <c r="P106" i="7"/>
  <c r="O106" i="7"/>
  <c r="Q106" i="7" s="1"/>
  <c r="P180" i="7"/>
  <c r="O180" i="7"/>
  <c r="Q180" i="7" s="1"/>
  <c r="R180" i="7"/>
  <c r="K104" i="7"/>
  <c r="N104" i="7"/>
  <c r="R170" i="7"/>
  <c r="O105" i="7"/>
  <c r="Q105" i="7" s="1"/>
  <c r="R105" i="7"/>
  <c r="P105" i="7"/>
  <c r="K107" i="7"/>
  <c r="N107" i="7"/>
  <c r="R91" i="7"/>
  <c r="K199" i="7"/>
  <c r="N199" i="7"/>
  <c r="P178" i="6"/>
  <c r="O178" i="6"/>
  <c r="Q178" i="6" s="1"/>
  <c r="R178" i="6"/>
  <c r="P183" i="6"/>
  <c r="O183" i="6"/>
  <c r="Q183" i="6" s="1"/>
  <c r="R183" i="6"/>
  <c r="R95" i="6"/>
  <c r="R88" i="6"/>
  <c r="K195" i="6"/>
  <c r="N195" i="6"/>
  <c r="P185" i="6"/>
  <c r="O185" i="6"/>
  <c r="Q185" i="6" s="1"/>
  <c r="P105" i="6"/>
  <c r="O105" i="6"/>
  <c r="Q105" i="6" s="1"/>
  <c r="K197" i="6"/>
  <c r="N197" i="6"/>
  <c r="O179" i="6"/>
  <c r="Q179" i="6" s="1"/>
  <c r="R179" i="6"/>
  <c r="P179" i="6"/>
  <c r="R169" i="6"/>
  <c r="R163" i="6"/>
  <c r="K196" i="6"/>
  <c r="N196" i="6"/>
  <c r="P109" i="6"/>
  <c r="O109" i="6"/>
  <c r="Q109" i="6" s="1"/>
  <c r="P181" i="6"/>
  <c r="O181" i="6"/>
  <c r="Q181" i="6" s="1"/>
  <c r="R181" i="6"/>
  <c r="R94" i="6"/>
  <c r="K199" i="6"/>
  <c r="N199" i="6"/>
  <c r="K193" i="6"/>
  <c r="N193" i="6"/>
  <c r="O103" i="6"/>
  <c r="Q103" i="6" s="1"/>
  <c r="R103" i="6"/>
  <c r="P103" i="6"/>
  <c r="R167" i="6"/>
  <c r="K198" i="6"/>
  <c r="N198" i="6"/>
  <c r="R165" i="6"/>
  <c r="R166" i="6"/>
  <c r="O184" i="6"/>
  <c r="Q184" i="6" s="1"/>
  <c r="R184" i="6"/>
  <c r="P184" i="6"/>
  <c r="R107" i="6"/>
  <c r="P107" i="6"/>
  <c r="O107" i="6"/>
  <c r="Q107" i="6" s="1"/>
  <c r="P106" i="6"/>
  <c r="R106" i="6"/>
  <c r="O106" i="6"/>
  <c r="Q106" i="6" s="1"/>
  <c r="P104" i="6"/>
  <c r="O104" i="6"/>
  <c r="Q104" i="6" s="1"/>
  <c r="P180" i="6"/>
  <c r="O180" i="6"/>
  <c r="Q180" i="6" s="1"/>
  <c r="R92" i="6"/>
  <c r="K200" i="6"/>
  <c r="N200" i="6"/>
  <c r="O182" i="6"/>
  <c r="Q182" i="6" s="1"/>
  <c r="R182" i="6"/>
  <c r="P182" i="6"/>
  <c r="K194" i="6"/>
  <c r="N194" i="6"/>
  <c r="P108" i="6"/>
  <c r="O108" i="6"/>
  <c r="Q108" i="6" s="1"/>
  <c r="P110" i="6"/>
  <c r="R110" i="6"/>
  <c r="O110" i="6"/>
  <c r="Q110" i="6" s="1"/>
  <c r="O195" i="7" l="1"/>
  <c r="Q195" i="7" s="1"/>
  <c r="R195" i="7"/>
  <c r="P195" i="7"/>
  <c r="P198" i="7"/>
  <c r="O198" i="7"/>
  <c r="Q198" i="7" s="1"/>
  <c r="R198" i="7"/>
  <c r="O107" i="7"/>
  <c r="Q107" i="7" s="1"/>
  <c r="R107" i="7"/>
  <c r="P107" i="7"/>
  <c r="P200" i="7"/>
  <c r="O200" i="7"/>
  <c r="Q200" i="7" s="1"/>
  <c r="R200" i="7"/>
  <c r="O199" i="7"/>
  <c r="Q199" i="7" s="1"/>
  <c r="P199" i="7"/>
  <c r="P196" i="7"/>
  <c r="O196" i="7"/>
  <c r="Q196" i="7" s="1"/>
  <c r="R196" i="7"/>
  <c r="O193" i="7"/>
  <c r="Q193" i="7" s="1"/>
  <c r="R193" i="7"/>
  <c r="P193" i="7"/>
  <c r="P194" i="7"/>
  <c r="O194" i="7"/>
  <c r="Q194" i="7" s="1"/>
  <c r="R89" i="7"/>
  <c r="P197" i="7"/>
  <c r="O197" i="7"/>
  <c r="Q197" i="7" s="1"/>
  <c r="R94" i="7"/>
  <c r="R103" i="7"/>
  <c r="O109" i="7"/>
  <c r="Q109" i="7" s="1"/>
  <c r="R109" i="7"/>
  <c r="P109" i="7"/>
  <c r="P110" i="7"/>
  <c r="O110" i="7"/>
  <c r="Q110" i="7" s="1"/>
  <c r="R110" i="7"/>
  <c r="R106" i="7"/>
  <c r="P108" i="7"/>
  <c r="O108" i="7"/>
  <c r="Q108" i="7" s="1"/>
  <c r="P104" i="7"/>
  <c r="O104" i="7"/>
  <c r="Q104" i="7" s="1"/>
  <c r="R93" i="7"/>
  <c r="R181" i="7"/>
  <c r="R194" i="6"/>
  <c r="P194" i="6"/>
  <c r="O194" i="6"/>
  <c r="Q194" i="6" s="1"/>
  <c r="R180" i="6"/>
  <c r="R104" i="6"/>
  <c r="O193" i="6"/>
  <c r="Q193" i="6" s="1"/>
  <c r="P193" i="6"/>
  <c r="P200" i="6"/>
  <c r="O200" i="6"/>
  <c r="Q200" i="6" s="1"/>
  <c r="P198" i="6"/>
  <c r="O198" i="6"/>
  <c r="Q198" i="6" s="1"/>
  <c r="R198" i="6"/>
  <c r="P199" i="6"/>
  <c r="O199" i="6"/>
  <c r="Q199" i="6" s="1"/>
  <c r="R109" i="6"/>
  <c r="P197" i="6"/>
  <c r="O197" i="6"/>
  <c r="Q197" i="6" s="1"/>
  <c r="R105" i="6"/>
  <c r="O195" i="6"/>
  <c r="Q195" i="6" s="1"/>
  <c r="R195" i="6"/>
  <c r="P195" i="6"/>
  <c r="R108" i="6"/>
  <c r="P196" i="6"/>
  <c r="O196" i="6"/>
  <c r="Q196" i="6" s="1"/>
  <c r="R196" i="6"/>
  <c r="R185" i="6"/>
  <c r="R104" i="7" l="1"/>
  <c r="R197" i="7"/>
  <c r="R194" i="7"/>
  <c r="R108" i="7"/>
  <c r="R199" i="7"/>
  <c r="R197" i="6"/>
  <c r="R199" i="6"/>
  <c r="R200" i="6"/>
  <c r="R193" i="6"/>
  <c r="G15" i="5" l="1"/>
  <c r="G12" i="5"/>
  <c r="G10" i="5"/>
  <c r="G9" i="5"/>
  <c r="C240" i="4"/>
  <c r="F239" i="4"/>
  <c r="E239" i="4"/>
  <c r="C239" i="4"/>
  <c r="D239" i="4" s="1"/>
  <c r="E203" i="4"/>
  <c r="E202" i="4"/>
  <c r="F201" i="4"/>
  <c r="F199" i="4"/>
  <c r="F197" i="4"/>
  <c r="F194" i="4"/>
  <c r="G192" i="4"/>
  <c r="E187" i="4"/>
  <c r="E182" i="4"/>
  <c r="E188" i="4" s="1"/>
  <c r="F180" i="4"/>
  <c r="E172" i="4"/>
  <c r="E166" i="4"/>
  <c r="E165" i="4"/>
  <c r="E164" i="4"/>
  <c r="E163" i="4"/>
  <c r="E162" i="4"/>
  <c r="E161" i="4"/>
  <c r="E151" i="4"/>
  <c r="E150" i="4"/>
  <c r="E149" i="4"/>
  <c r="E148" i="4"/>
  <c r="E147" i="4"/>
  <c r="E146" i="4"/>
  <c r="E142" i="4"/>
  <c r="E128" i="4"/>
  <c r="E127" i="4"/>
  <c r="F124" i="4"/>
  <c r="G123" i="4"/>
  <c r="G119" i="4"/>
  <c r="F119" i="4"/>
  <c r="E111" i="4"/>
  <c r="E112" i="4" s="1"/>
  <c r="E105" i="4"/>
  <c r="E104" i="4"/>
  <c r="E103" i="4"/>
  <c r="E102" i="4"/>
  <c r="E101" i="4"/>
  <c r="E100" i="4"/>
  <c r="B100" i="4"/>
  <c r="E96" i="4"/>
  <c r="E90" i="4"/>
  <c r="E89" i="4"/>
  <c r="E88" i="4"/>
  <c r="E87" i="4"/>
  <c r="E86" i="4"/>
  <c r="E85" i="4"/>
  <c r="B85" i="4"/>
  <c r="E81" i="4"/>
  <c r="E75" i="4"/>
  <c r="E74" i="4"/>
  <c r="E73" i="4"/>
  <c r="E72" i="4"/>
  <c r="E71" i="4"/>
  <c r="E70" i="4"/>
  <c r="B70" i="4"/>
  <c r="E66" i="4"/>
  <c r="E60" i="4"/>
  <c r="F60" i="4" s="1"/>
  <c r="E59" i="4"/>
  <c r="E58" i="4"/>
  <c r="E57" i="4"/>
  <c r="E56" i="4"/>
  <c r="E55" i="4"/>
  <c r="E67" i="4" s="1"/>
  <c r="B55" i="4"/>
  <c r="E51" i="4"/>
  <c r="E45" i="4"/>
  <c r="F45" i="4" s="1"/>
  <c r="E44" i="4"/>
  <c r="E43" i="4"/>
  <c r="E42" i="4"/>
  <c r="E41" i="4"/>
  <c r="F41" i="4" s="1"/>
  <c r="E40" i="4"/>
  <c r="E52" i="4" s="1"/>
  <c r="B40" i="4"/>
  <c r="E36" i="4"/>
  <c r="E30" i="4"/>
  <c r="F30" i="4" s="1"/>
  <c r="E29" i="4"/>
  <c r="E28" i="4"/>
  <c r="E27" i="4"/>
  <c r="E26" i="4"/>
  <c r="E25" i="4"/>
  <c r="E37" i="4" s="1"/>
  <c r="B25" i="4"/>
  <c r="F21" i="4"/>
  <c r="D21" i="4"/>
  <c r="C21" i="4"/>
  <c r="G20" i="4"/>
  <c r="G21" i="4" s="1"/>
  <c r="B15" i="4"/>
  <c r="F36" i="4" l="1"/>
  <c r="F42" i="4"/>
  <c r="F51" i="4"/>
  <c r="G109" i="4"/>
  <c r="G107" i="4"/>
  <c r="G105" i="4"/>
  <c r="G103" i="4"/>
  <c r="G106" i="4"/>
  <c r="G102" i="4"/>
  <c r="F112" i="4"/>
  <c r="G108" i="4"/>
  <c r="F107" i="4"/>
  <c r="F106" i="4"/>
  <c r="G104" i="4"/>
  <c r="G101" i="4"/>
  <c r="G100" i="4"/>
  <c r="B102" i="4" s="1"/>
  <c r="F103" i="4"/>
  <c r="G14" i="4"/>
  <c r="G15" i="4" s="1"/>
  <c r="G110" i="4"/>
  <c r="F109" i="4"/>
  <c r="F108" i="4"/>
  <c r="F100" i="4"/>
  <c r="F110" i="4"/>
  <c r="F104" i="4"/>
  <c r="F28" i="4"/>
  <c r="F43" i="4"/>
  <c r="F58" i="4"/>
  <c r="F35" i="4"/>
  <c r="F33" i="4"/>
  <c r="F31" i="4"/>
  <c r="H29" i="4" s="1"/>
  <c r="G28" i="4"/>
  <c r="F27" i="4"/>
  <c r="F26" i="4"/>
  <c r="G25" i="4"/>
  <c r="F37" i="4"/>
  <c r="G33" i="4"/>
  <c r="G27" i="4"/>
  <c r="F25" i="4"/>
  <c r="G34" i="4"/>
  <c r="G32" i="4"/>
  <c r="G30" i="4"/>
  <c r="G29" i="4"/>
  <c r="F34" i="4"/>
  <c r="G35" i="4"/>
  <c r="G31" i="4"/>
  <c r="G26" i="4"/>
  <c r="B27" i="4" s="1"/>
  <c r="F32" i="4"/>
  <c r="F29" i="4"/>
  <c r="F50" i="4"/>
  <c r="F48" i="4"/>
  <c r="F46" i="4"/>
  <c r="H44" i="4" s="1"/>
  <c r="G42" i="4"/>
  <c r="G41" i="4"/>
  <c r="F40" i="4"/>
  <c r="F52" i="4"/>
  <c r="C14" i="4"/>
  <c r="C15" i="4" s="1"/>
  <c r="G49" i="4"/>
  <c r="G47" i="4"/>
  <c r="G45" i="4"/>
  <c r="G43" i="4"/>
  <c r="G50" i="4"/>
  <c r="G48" i="4"/>
  <c r="G40" i="4"/>
  <c r="B42" i="4" s="1"/>
  <c r="F49" i="4"/>
  <c r="F47" i="4"/>
  <c r="G44" i="4"/>
  <c r="G46" i="4"/>
  <c r="F44" i="4"/>
  <c r="G64" i="4"/>
  <c r="G62" i="4"/>
  <c r="G60" i="4"/>
  <c r="G58" i="4"/>
  <c r="G65" i="4"/>
  <c r="F64" i="4"/>
  <c r="F63" i="4"/>
  <c r="D14" i="4"/>
  <c r="D15" i="4" s="1"/>
  <c r="F65" i="4"/>
  <c r="G56" i="4"/>
  <c r="B57" i="4" s="1"/>
  <c r="G63" i="4"/>
  <c r="F61" i="4"/>
  <c r="H59" i="4" s="1"/>
  <c r="G61" i="4"/>
  <c r="G57" i="4"/>
  <c r="F67" i="4"/>
  <c r="F62" i="4"/>
  <c r="G59" i="4"/>
  <c r="G55" i="4"/>
  <c r="F59" i="4"/>
  <c r="F56" i="4"/>
  <c r="F81" i="4"/>
  <c r="F90" i="4"/>
  <c r="E97" i="4"/>
  <c r="F89" i="4" s="1"/>
  <c r="F105" i="4"/>
  <c r="H104" i="4" s="1"/>
  <c r="F125" i="4"/>
  <c r="F123" i="4"/>
  <c r="F121" i="4"/>
  <c r="F120" i="4"/>
  <c r="F118" i="4"/>
  <c r="G116" i="4"/>
  <c r="F127" i="4"/>
  <c r="G125" i="4"/>
  <c r="G122" i="4"/>
  <c r="G118" i="4"/>
  <c r="F116" i="4"/>
  <c r="G124" i="4"/>
  <c r="F122" i="4"/>
  <c r="G120" i="4"/>
  <c r="E143" i="4"/>
  <c r="F142" i="4"/>
  <c r="F186" i="4"/>
  <c r="F184" i="4"/>
  <c r="G179" i="4"/>
  <c r="F176" i="4"/>
  <c r="G185" i="4"/>
  <c r="G183" i="4"/>
  <c r="F179" i="4"/>
  <c r="G177" i="4"/>
  <c r="F185" i="4"/>
  <c r="F183" i="4"/>
  <c r="G181" i="4"/>
  <c r="G180" i="4"/>
  <c r="G178" i="4"/>
  <c r="F177" i="4"/>
  <c r="F188" i="4"/>
  <c r="G186" i="4"/>
  <c r="F178" i="4"/>
  <c r="F181" i="4"/>
  <c r="G184" i="4"/>
  <c r="G182" i="4"/>
  <c r="G176" i="4"/>
  <c r="B178" i="4" s="1"/>
  <c r="F57" i="4"/>
  <c r="F96" i="4"/>
  <c r="F111" i="4"/>
  <c r="E242" i="4"/>
  <c r="D240" i="4"/>
  <c r="D243" i="4" s="1"/>
  <c r="F66" i="4"/>
  <c r="E82" i="4"/>
  <c r="F117" i="4"/>
  <c r="F126" i="4"/>
  <c r="F128" i="4"/>
  <c r="F72" i="4"/>
  <c r="F86" i="4"/>
  <c r="F55" i="4"/>
  <c r="F87" i="4"/>
  <c r="F101" i="4"/>
  <c r="G117" i="4"/>
  <c r="G121" i="4"/>
  <c r="B118" i="4" s="1"/>
  <c r="G126" i="4"/>
  <c r="F149" i="4"/>
  <c r="F102" i="4"/>
  <c r="E158" i="4"/>
  <c r="F150" i="4" s="1"/>
  <c r="F187" i="4"/>
  <c r="E173" i="4"/>
  <c r="F165" i="4" s="1"/>
  <c r="F161" i="4"/>
  <c r="F202" i="4"/>
  <c r="G200" i="4"/>
  <c r="G198" i="4"/>
  <c r="G196" i="4"/>
  <c r="G195" i="4"/>
  <c r="G193" i="4"/>
  <c r="F192" i="4"/>
  <c r="F200" i="4"/>
  <c r="F198" i="4"/>
  <c r="F196" i="4"/>
  <c r="H195" i="4" s="1"/>
  <c r="F195" i="4"/>
  <c r="F193" i="4"/>
  <c r="G191" i="4"/>
  <c r="B193" i="4" s="1"/>
  <c r="F203" i="4"/>
  <c r="G201" i="4"/>
  <c r="G199" i="4"/>
  <c r="G197" i="4"/>
  <c r="G194" i="4"/>
  <c r="F191" i="4"/>
  <c r="F182" i="4"/>
  <c r="I209" i="4" l="1"/>
  <c r="I208" i="4" s="1"/>
  <c r="F151" i="4"/>
  <c r="L104" i="4"/>
  <c r="L110" i="4"/>
  <c r="L105" i="4"/>
  <c r="L107" i="4"/>
  <c r="L106" i="4"/>
  <c r="L109" i="4"/>
  <c r="L108" i="4"/>
  <c r="L103" i="4"/>
  <c r="G79" i="4"/>
  <c r="G77" i="4"/>
  <c r="G75" i="4"/>
  <c r="G73" i="4"/>
  <c r="F82" i="4"/>
  <c r="G80" i="4"/>
  <c r="F79" i="4"/>
  <c r="F78" i="4"/>
  <c r="F70" i="4"/>
  <c r="F14" i="4"/>
  <c r="F15" i="4" s="1"/>
  <c r="G78" i="4"/>
  <c r="G74" i="4"/>
  <c r="F80" i="4"/>
  <c r="G71" i="4"/>
  <c r="E14" i="4"/>
  <c r="E15" i="4" s="1"/>
  <c r="F77" i="4"/>
  <c r="G70" i="4"/>
  <c r="B72" i="4" s="1"/>
  <c r="G76" i="4"/>
  <c r="G72" i="4"/>
  <c r="F76" i="4"/>
  <c r="L186" i="4"/>
  <c r="L184" i="4"/>
  <c r="L182" i="4"/>
  <c r="L180" i="4"/>
  <c r="L179" i="4"/>
  <c r="L185" i="4"/>
  <c r="L183" i="4"/>
  <c r="L181" i="4"/>
  <c r="F88" i="4"/>
  <c r="F73" i="4"/>
  <c r="I195" i="4"/>
  <c r="L50" i="4"/>
  <c r="L48" i="4"/>
  <c r="N48" i="4" s="1"/>
  <c r="L46" i="4"/>
  <c r="L44" i="4"/>
  <c r="L49" i="4"/>
  <c r="L47" i="4"/>
  <c r="L45" i="4"/>
  <c r="L43" i="4"/>
  <c r="J49" i="4"/>
  <c r="J47" i="4"/>
  <c r="J45" i="4"/>
  <c r="J43" i="4"/>
  <c r="J44" i="4"/>
  <c r="J50" i="4"/>
  <c r="J48" i="4"/>
  <c r="J46" i="4"/>
  <c r="F158" i="4"/>
  <c r="F156" i="4"/>
  <c r="F154" i="4"/>
  <c r="F152" i="4"/>
  <c r="G155" i="4"/>
  <c r="F157" i="4"/>
  <c r="F155" i="4"/>
  <c r="F153" i="4"/>
  <c r="G154" i="4"/>
  <c r="G150" i="4"/>
  <c r="G153" i="4"/>
  <c r="G152" i="4"/>
  <c r="F148" i="4"/>
  <c r="F147" i="4"/>
  <c r="G156" i="4"/>
  <c r="G149" i="4"/>
  <c r="G146" i="4"/>
  <c r="B148" i="4" s="1"/>
  <c r="G151" i="4"/>
  <c r="G148" i="4"/>
  <c r="F146" i="4"/>
  <c r="G147" i="4"/>
  <c r="F74" i="4"/>
  <c r="F75" i="4"/>
  <c r="L200" i="4"/>
  <c r="L198" i="4"/>
  <c r="L196" i="4"/>
  <c r="L199" i="4"/>
  <c r="L194" i="4"/>
  <c r="L195" i="4"/>
  <c r="L201" i="4"/>
  <c r="L197" i="4"/>
  <c r="F170" i="4"/>
  <c r="F168" i="4"/>
  <c r="F166" i="4"/>
  <c r="G165" i="4"/>
  <c r="F164" i="4"/>
  <c r="F173" i="4"/>
  <c r="G171" i="4"/>
  <c r="G169" i="4"/>
  <c r="G167" i="4"/>
  <c r="G161" i="4"/>
  <c r="F171" i="4"/>
  <c r="F169" i="4"/>
  <c r="F167" i="4"/>
  <c r="G163" i="4"/>
  <c r="G162" i="4"/>
  <c r="G170" i="4"/>
  <c r="F163" i="4"/>
  <c r="F162" i="4"/>
  <c r="L166" i="4" s="1"/>
  <c r="G164" i="4"/>
  <c r="F172" i="4"/>
  <c r="G166" i="4"/>
  <c r="E20" i="4"/>
  <c r="E21" i="4" s="1"/>
  <c r="G168" i="4"/>
  <c r="L59" i="4"/>
  <c r="L62" i="4"/>
  <c r="L61" i="4"/>
  <c r="L64" i="4"/>
  <c r="L63" i="4"/>
  <c r="L58" i="4"/>
  <c r="L65" i="4"/>
  <c r="L60" i="4"/>
  <c r="H180" i="4"/>
  <c r="F143" i="4"/>
  <c r="G141" i="4"/>
  <c r="G139" i="4"/>
  <c r="G137" i="4"/>
  <c r="G134" i="4"/>
  <c r="F131" i="4"/>
  <c r="G138" i="4"/>
  <c r="F137" i="4"/>
  <c r="F136" i="4"/>
  <c r="G135" i="4"/>
  <c r="F134" i="4"/>
  <c r="F132" i="4"/>
  <c r="G140" i="4"/>
  <c r="F139" i="4"/>
  <c r="F138" i="4"/>
  <c r="F135" i="4"/>
  <c r="G133" i="4"/>
  <c r="G131" i="4"/>
  <c r="B133" i="4" s="1"/>
  <c r="F141" i="4"/>
  <c r="G132" i="4"/>
  <c r="F140" i="4"/>
  <c r="F133" i="4"/>
  <c r="G136" i="4"/>
  <c r="J140" i="4"/>
  <c r="J139" i="4"/>
  <c r="J141" i="4"/>
  <c r="J136" i="4"/>
  <c r="J135" i="4"/>
  <c r="J138" i="4"/>
  <c r="J137" i="4"/>
  <c r="J134" i="4"/>
  <c r="H120" i="4"/>
  <c r="G94" i="4"/>
  <c r="G92" i="4"/>
  <c r="G90" i="4"/>
  <c r="G88" i="4"/>
  <c r="F94" i="4"/>
  <c r="F92" i="4"/>
  <c r="G89" i="4"/>
  <c r="G95" i="4"/>
  <c r="G91" i="4"/>
  <c r="G85" i="4"/>
  <c r="F93" i="4"/>
  <c r="F97" i="4"/>
  <c r="F95" i="4"/>
  <c r="F91" i="4"/>
  <c r="H89" i="4" s="1"/>
  <c r="F85" i="4"/>
  <c r="G93" i="4"/>
  <c r="G86" i="4"/>
  <c r="G87" i="4"/>
  <c r="F71" i="4"/>
  <c r="J149" i="4" l="1"/>
  <c r="K134" i="4"/>
  <c r="J62" i="4"/>
  <c r="N62" i="4" s="1"/>
  <c r="K47" i="4"/>
  <c r="L89" i="4"/>
  <c r="L94" i="4"/>
  <c r="L92" i="4"/>
  <c r="L90" i="4"/>
  <c r="L88" i="4"/>
  <c r="L93" i="4"/>
  <c r="L91" i="4"/>
  <c r="L95" i="4"/>
  <c r="K136" i="4"/>
  <c r="J151" i="4"/>
  <c r="N64" i="4"/>
  <c r="H165" i="4"/>
  <c r="L169" i="4"/>
  <c r="K50" i="4"/>
  <c r="J65" i="4"/>
  <c r="N47" i="4"/>
  <c r="L74" i="4"/>
  <c r="L77" i="4"/>
  <c r="L76" i="4"/>
  <c r="L79" i="4"/>
  <c r="L78" i="4"/>
  <c r="L73" i="4"/>
  <c r="L80" i="4"/>
  <c r="L75" i="4"/>
  <c r="L135" i="4"/>
  <c r="N135" i="4" s="1"/>
  <c r="L137" i="4"/>
  <c r="N137" i="4" s="1"/>
  <c r="L136" i="4"/>
  <c r="N136" i="4" s="1"/>
  <c r="L134" i="4"/>
  <c r="N134" i="4" s="1"/>
  <c r="L141" i="4"/>
  <c r="N141" i="4" s="1"/>
  <c r="L139" i="4"/>
  <c r="N139" i="4" s="1"/>
  <c r="L138" i="4"/>
  <c r="N138" i="4" s="1"/>
  <c r="L140" i="4"/>
  <c r="N140" i="4" s="1"/>
  <c r="N65" i="4"/>
  <c r="L171" i="4"/>
  <c r="L170" i="4"/>
  <c r="J59" i="4"/>
  <c r="K44" i="4"/>
  <c r="J64" i="4"/>
  <c r="K49" i="4"/>
  <c r="N49" i="4"/>
  <c r="N50" i="4"/>
  <c r="H150" i="4"/>
  <c r="B87" i="4"/>
  <c r="J153" i="4"/>
  <c r="K138" i="4"/>
  <c r="J154" i="4"/>
  <c r="K139" i="4"/>
  <c r="H135" i="4"/>
  <c r="I135" i="4" s="1"/>
  <c r="L156" i="4"/>
  <c r="L154" i="4"/>
  <c r="N154" i="4" s="1"/>
  <c r="L152" i="4"/>
  <c r="L155" i="4"/>
  <c r="N155" i="4" s="1"/>
  <c r="L153" i="4"/>
  <c r="L151" i="4"/>
  <c r="N151" i="4" s="1"/>
  <c r="L149" i="4"/>
  <c r="N149" i="4" s="1"/>
  <c r="L150" i="4"/>
  <c r="L165" i="4"/>
  <c r="L164" i="4"/>
  <c r="J61" i="4"/>
  <c r="K46" i="4"/>
  <c r="J58" i="4"/>
  <c r="K43" i="4"/>
  <c r="N43" i="4"/>
  <c r="N44" i="4"/>
  <c r="I180" i="4"/>
  <c r="I165" i="4"/>
  <c r="I104" i="4"/>
  <c r="I44" i="4"/>
  <c r="I89" i="4"/>
  <c r="I120" i="4"/>
  <c r="I74" i="4"/>
  <c r="I59" i="4"/>
  <c r="I150" i="4"/>
  <c r="L168" i="4"/>
  <c r="P48" i="4"/>
  <c r="O48" i="4"/>
  <c r="Q48" i="4" s="1"/>
  <c r="R48" i="4"/>
  <c r="J152" i="4"/>
  <c r="K137" i="4"/>
  <c r="J156" i="4"/>
  <c r="K141" i="4"/>
  <c r="B163" i="4"/>
  <c r="K135" i="4"/>
  <c r="J150" i="4"/>
  <c r="J155" i="4"/>
  <c r="K140" i="4"/>
  <c r="N63" i="4"/>
  <c r="N59" i="4"/>
  <c r="H74" i="4"/>
  <c r="L167" i="4"/>
  <c r="K48" i="4"/>
  <c r="J63" i="4"/>
  <c r="J60" i="4"/>
  <c r="N60" i="4" s="1"/>
  <c r="K45" i="4"/>
  <c r="N45" i="4"/>
  <c r="N46" i="4"/>
  <c r="O62" i="4" l="1"/>
  <c r="Q62" i="4" s="1"/>
  <c r="R60" i="4"/>
  <c r="O60" i="4"/>
  <c r="Q60" i="4" s="1"/>
  <c r="R59" i="4"/>
  <c r="O59" i="4"/>
  <c r="Q59" i="4" s="1"/>
  <c r="O44" i="4"/>
  <c r="Q44" i="4" s="1"/>
  <c r="P44" i="4"/>
  <c r="O49" i="4"/>
  <c r="Q49" i="4" s="1"/>
  <c r="P49" i="4"/>
  <c r="R49" i="4"/>
  <c r="P65" i="4"/>
  <c r="O65" i="4"/>
  <c r="Q65" i="4" s="1"/>
  <c r="R65" i="4"/>
  <c r="R64" i="4"/>
  <c r="O64" i="4"/>
  <c r="Q64" i="4" s="1"/>
  <c r="P64" i="4"/>
  <c r="P63" i="4"/>
  <c r="O63" i="4"/>
  <c r="Q63" i="4" s="1"/>
  <c r="O43" i="4"/>
  <c r="Q43" i="4" s="1"/>
  <c r="P43" i="4"/>
  <c r="K61" i="4"/>
  <c r="J76" i="4"/>
  <c r="P149" i="4"/>
  <c r="O149" i="4"/>
  <c r="Q149" i="4" s="1"/>
  <c r="R149" i="4"/>
  <c r="N152" i="4"/>
  <c r="P140" i="4"/>
  <c r="O140" i="4"/>
  <c r="Q140" i="4" s="1"/>
  <c r="R140" i="4"/>
  <c r="R134" i="4"/>
  <c r="O134" i="4"/>
  <c r="Q134" i="4" s="1"/>
  <c r="P134" i="4"/>
  <c r="N74" i="4"/>
  <c r="J166" i="4"/>
  <c r="K151" i="4"/>
  <c r="P151" i="4" s="1"/>
  <c r="N167" i="4"/>
  <c r="J165" i="4"/>
  <c r="K150" i="4"/>
  <c r="J167" i="4"/>
  <c r="K152" i="4"/>
  <c r="N150" i="4"/>
  <c r="K59" i="4"/>
  <c r="P59" i="4" s="1"/>
  <c r="J74" i="4"/>
  <c r="O135" i="4"/>
  <c r="Q135" i="4" s="1"/>
  <c r="P135" i="4"/>
  <c r="P46" i="4"/>
  <c r="R46" i="4"/>
  <c r="O46" i="4"/>
  <c r="Q46" i="4" s="1"/>
  <c r="J171" i="4"/>
  <c r="K156" i="4"/>
  <c r="N164" i="4"/>
  <c r="O151" i="4"/>
  <c r="Q151" i="4" s="1"/>
  <c r="O154" i="4"/>
  <c r="Q154" i="4" s="1"/>
  <c r="R154" i="4"/>
  <c r="J169" i="4"/>
  <c r="K154" i="4"/>
  <c r="P154" i="4" s="1"/>
  <c r="K64" i="4"/>
  <c r="J79" i="4"/>
  <c r="N171" i="4"/>
  <c r="P138" i="4"/>
  <c r="O138" i="4"/>
  <c r="Q138" i="4" s="1"/>
  <c r="R138" i="4"/>
  <c r="P136" i="4"/>
  <c r="R136" i="4"/>
  <c r="O136" i="4"/>
  <c r="Q136" i="4" s="1"/>
  <c r="N79" i="4"/>
  <c r="O47" i="4"/>
  <c r="Q47" i="4" s="1"/>
  <c r="P47" i="4"/>
  <c r="J164" i="4"/>
  <c r="K149" i="4"/>
  <c r="O155" i="4"/>
  <c r="Q155" i="4" s="1"/>
  <c r="R155" i="4"/>
  <c r="J168" i="4"/>
  <c r="K153" i="4"/>
  <c r="R141" i="4"/>
  <c r="P141" i="4"/>
  <c r="O141" i="4"/>
  <c r="Q141" i="4" s="1"/>
  <c r="K62" i="4"/>
  <c r="P62" i="4" s="1"/>
  <c r="J77" i="4"/>
  <c r="K60" i="4"/>
  <c r="P60" i="4" s="1"/>
  <c r="J75" i="4"/>
  <c r="K63" i="4"/>
  <c r="J78" i="4"/>
  <c r="O45" i="4"/>
  <c r="Q45" i="4" s="1"/>
  <c r="P45" i="4"/>
  <c r="R45" i="4"/>
  <c r="J170" i="4"/>
  <c r="N170" i="4" s="1"/>
  <c r="K155" i="4"/>
  <c r="P155" i="4" s="1"/>
  <c r="N168" i="4"/>
  <c r="K58" i="4"/>
  <c r="J73" i="4"/>
  <c r="N153" i="4"/>
  <c r="N156" i="4"/>
  <c r="N58" i="4"/>
  <c r="P50" i="4"/>
  <c r="O50" i="4"/>
  <c r="Q50" i="4" s="1"/>
  <c r="R50" i="4"/>
  <c r="N61" i="4"/>
  <c r="P139" i="4"/>
  <c r="O139" i="4"/>
  <c r="Q139" i="4" s="1"/>
  <c r="R137" i="4"/>
  <c r="O137" i="4"/>
  <c r="Q137" i="4" s="1"/>
  <c r="P137" i="4"/>
  <c r="N80" i="4"/>
  <c r="N76" i="4"/>
  <c r="K65" i="4"/>
  <c r="J80" i="4"/>
  <c r="O170" i="4" l="1"/>
  <c r="Q170" i="4" s="1"/>
  <c r="R170" i="4"/>
  <c r="P61" i="4"/>
  <c r="O61" i="4"/>
  <c r="Q61" i="4" s="1"/>
  <c r="J88" i="4"/>
  <c r="K73" i="4"/>
  <c r="K78" i="4"/>
  <c r="J93" i="4"/>
  <c r="K77" i="4"/>
  <c r="J92" i="4"/>
  <c r="O164" i="4"/>
  <c r="Q164" i="4" s="1"/>
  <c r="P156" i="4"/>
  <c r="O156" i="4"/>
  <c r="Q156" i="4" s="1"/>
  <c r="R156" i="4"/>
  <c r="O79" i="4"/>
  <c r="Q79" i="4" s="1"/>
  <c r="O171" i="4"/>
  <c r="Q171" i="4" s="1"/>
  <c r="P171" i="4"/>
  <c r="J184" i="4"/>
  <c r="K169" i="4"/>
  <c r="K165" i="4"/>
  <c r="J180" i="4"/>
  <c r="N78" i="4"/>
  <c r="O152" i="4"/>
  <c r="Q152" i="4" s="1"/>
  <c r="P152" i="4"/>
  <c r="K76" i="4"/>
  <c r="J91" i="4"/>
  <c r="O168" i="4"/>
  <c r="Q168" i="4" s="1"/>
  <c r="K75" i="4"/>
  <c r="J90" i="4"/>
  <c r="R47" i="4"/>
  <c r="J94" i="4"/>
  <c r="K79" i="4"/>
  <c r="P79" i="4" s="1"/>
  <c r="O167" i="4"/>
  <c r="Q167" i="4" s="1"/>
  <c r="R167" i="4"/>
  <c r="P76" i="4"/>
  <c r="O76" i="4"/>
  <c r="Q76" i="4" s="1"/>
  <c r="O58" i="4"/>
  <c r="Q58" i="4" s="1"/>
  <c r="P58" i="4"/>
  <c r="J185" i="4"/>
  <c r="K170" i="4"/>
  <c r="P170" i="4" s="1"/>
  <c r="O74" i="4"/>
  <c r="Q74" i="4" s="1"/>
  <c r="O80" i="4"/>
  <c r="Q80" i="4" s="1"/>
  <c r="P150" i="4"/>
  <c r="O150" i="4"/>
  <c r="Q150" i="4" s="1"/>
  <c r="N73" i="4"/>
  <c r="K80" i="4"/>
  <c r="P80" i="4" s="1"/>
  <c r="J95" i="4"/>
  <c r="O153" i="4"/>
  <c r="Q153" i="4" s="1"/>
  <c r="P153" i="4"/>
  <c r="J183" i="4"/>
  <c r="K168" i="4"/>
  <c r="P168" i="4" s="1"/>
  <c r="N75" i="4"/>
  <c r="J186" i="4"/>
  <c r="K171" i="4"/>
  <c r="R135" i="4"/>
  <c r="J181" i="4"/>
  <c r="K166" i="4"/>
  <c r="N166" i="4"/>
  <c r="R44" i="4"/>
  <c r="R139" i="4"/>
  <c r="N165" i="4"/>
  <c r="K164" i="4"/>
  <c r="P164" i="4" s="1"/>
  <c r="J179" i="4"/>
  <c r="R151" i="4"/>
  <c r="N77" i="4"/>
  <c r="K74" i="4"/>
  <c r="P74" i="4" s="1"/>
  <c r="J89" i="4"/>
  <c r="J182" i="4"/>
  <c r="K167" i="4"/>
  <c r="P167" i="4" s="1"/>
  <c r="N169" i="4"/>
  <c r="R43" i="4"/>
  <c r="R63" i="4"/>
  <c r="R62" i="4"/>
  <c r="P165" i="4" l="1"/>
  <c r="O165" i="4"/>
  <c r="Q165" i="4" s="1"/>
  <c r="J201" i="4"/>
  <c r="K186" i="4"/>
  <c r="N186" i="4"/>
  <c r="J107" i="4"/>
  <c r="K92" i="4"/>
  <c r="N92" i="4"/>
  <c r="J197" i="4"/>
  <c r="K182" i="4"/>
  <c r="N182" i="4"/>
  <c r="K181" i="4"/>
  <c r="J196" i="4"/>
  <c r="N181" i="4"/>
  <c r="R75" i="4"/>
  <c r="P75" i="4"/>
  <c r="O75" i="4"/>
  <c r="Q75" i="4" s="1"/>
  <c r="R153" i="4"/>
  <c r="R73" i="4"/>
  <c r="O73" i="4"/>
  <c r="Q73" i="4" s="1"/>
  <c r="P73" i="4"/>
  <c r="R80" i="4"/>
  <c r="R76" i="4"/>
  <c r="K90" i="4"/>
  <c r="J105" i="4"/>
  <c r="N90" i="4"/>
  <c r="R152" i="4"/>
  <c r="R171" i="4"/>
  <c r="R79" i="4"/>
  <c r="R164" i="4"/>
  <c r="J103" i="4"/>
  <c r="K88" i="4"/>
  <c r="N88" i="4"/>
  <c r="R77" i="4"/>
  <c r="P77" i="4"/>
  <c r="O77" i="4"/>
  <c r="Q77" i="4" s="1"/>
  <c r="K185" i="4"/>
  <c r="J200" i="4"/>
  <c r="N185" i="4"/>
  <c r="J194" i="4"/>
  <c r="K179" i="4"/>
  <c r="N179" i="4"/>
  <c r="R74" i="4"/>
  <c r="K91" i="4"/>
  <c r="J106" i="4"/>
  <c r="N91" i="4"/>
  <c r="J108" i="4"/>
  <c r="K93" i="4"/>
  <c r="N93" i="4"/>
  <c r="J195" i="4"/>
  <c r="K180" i="4"/>
  <c r="N180" i="4"/>
  <c r="K89" i="4"/>
  <c r="J104" i="4"/>
  <c r="N89" i="4"/>
  <c r="O169" i="4"/>
  <c r="Q169" i="4" s="1"/>
  <c r="R169" i="4"/>
  <c r="P169" i="4"/>
  <c r="P166" i="4"/>
  <c r="O166" i="4"/>
  <c r="Q166" i="4" s="1"/>
  <c r="R166" i="4"/>
  <c r="K183" i="4"/>
  <c r="J198" i="4"/>
  <c r="N183" i="4"/>
  <c r="K95" i="4"/>
  <c r="J110" i="4"/>
  <c r="N95" i="4"/>
  <c r="R150" i="4"/>
  <c r="R58" i="4"/>
  <c r="J109" i="4"/>
  <c r="K94" i="4"/>
  <c r="N94" i="4"/>
  <c r="R168" i="4"/>
  <c r="P78" i="4"/>
  <c r="R78" i="4"/>
  <c r="O78" i="4"/>
  <c r="Q78" i="4" s="1"/>
  <c r="J199" i="4"/>
  <c r="K184" i="4"/>
  <c r="N184" i="4"/>
  <c r="R61" i="4"/>
  <c r="P95" i="4" l="1"/>
  <c r="O95" i="4"/>
  <c r="Q95" i="4" s="1"/>
  <c r="R95" i="4"/>
  <c r="K198" i="4"/>
  <c r="N198" i="4"/>
  <c r="K108" i="4"/>
  <c r="N108" i="4"/>
  <c r="P182" i="4"/>
  <c r="O182" i="4"/>
  <c r="Q182" i="4" s="1"/>
  <c r="R182" i="4"/>
  <c r="K109" i="4"/>
  <c r="N109" i="4"/>
  <c r="K110" i="4"/>
  <c r="N110" i="4"/>
  <c r="K104" i="4"/>
  <c r="N104" i="4"/>
  <c r="K195" i="4"/>
  <c r="N195" i="4"/>
  <c r="P91" i="4"/>
  <c r="O91" i="4"/>
  <c r="Q91" i="4" s="1"/>
  <c r="P179" i="4"/>
  <c r="O179" i="4"/>
  <c r="Q179" i="4" s="1"/>
  <c r="K200" i="4"/>
  <c r="N200" i="4"/>
  <c r="O90" i="4"/>
  <c r="Q90" i="4" s="1"/>
  <c r="P90" i="4"/>
  <c r="P181" i="4"/>
  <c r="O181" i="4"/>
  <c r="Q181" i="4" s="1"/>
  <c r="R181" i="4"/>
  <c r="K107" i="4"/>
  <c r="N107" i="4"/>
  <c r="R165" i="4"/>
  <c r="P184" i="4"/>
  <c r="O184" i="4"/>
  <c r="Q184" i="4" s="1"/>
  <c r="R184" i="4"/>
  <c r="K201" i="4"/>
  <c r="N201" i="4"/>
  <c r="K199" i="4"/>
  <c r="N199" i="4"/>
  <c r="P93" i="4"/>
  <c r="O93" i="4"/>
  <c r="Q93" i="4" s="1"/>
  <c r="K106" i="4"/>
  <c r="N106" i="4"/>
  <c r="R88" i="4"/>
  <c r="O88" i="4"/>
  <c r="Q88" i="4" s="1"/>
  <c r="P88" i="4"/>
  <c r="K105" i="4"/>
  <c r="N105" i="4"/>
  <c r="K196" i="4"/>
  <c r="N196" i="4"/>
  <c r="K197" i="4"/>
  <c r="N197" i="4"/>
  <c r="P186" i="4"/>
  <c r="O186" i="4"/>
  <c r="Q186" i="4" s="1"/>
  <c r="P89" i="4"/>
  <c r="O89" i="4"/>
  <c r="Q89" i="4" s="1"/>
  <c r="R89" i="4"/>
  <c r="O185" i="4"/>
  <c r="Q185" i="4" s="1"/>
  <c r="R185" i="4"/>
  <c r="P185" i="4"/>
  <c r="K103" i="4"/>
  <c r="N103" i="4"/>
  <c r="R94" i="4"/>
  <c r="O94" i="4"/>
  <c r="Q94" i="4" s="1"/>
  <c r="P94" i="4"/>
  <c r="O183" i="4"/>
  <c r="Q183" i="4" s="1"/>
  <c r="R183" i="4"/>
  <c r="P183" i="4"/>
  <c r="P180" i="4"/>
  <c r="O180" i="4"/>
  <c r="Q180" i="4" s="1"/>
  <c r="K194" i="4"/>
  <c r="N194" i="4"/>
  <c r="R92" i="4"/>
  <c r="P92" i="4"/>
  <c r="O92" i="4"/>
  <c r="Q92" i="4" s="1"/>
  <c r="O105" i="4" l="1"/>
  <c r="Q105" i="4" s="1"/>
  <c r="P105" i="4"/>
  <c r="R109" i="4"/>
  <c r="P109" i="4"/>
  <c r="O109" i="4"/>
  <c r="Q109" i="4" s="1"/>
  <c r="R103" i="4"/>
  <c r="P103" i="4"/>
  <c r="O103" i="4"/>
  <c r="Q103" i="4" s="1"/>
  <c r="R186" i="4"/>
  <c r="P106" i="4"/>
  <c r="O106" i="4"/>
  <c r="Q106" i="4" s="1"/>
  <c r="R90" i="4"/>
  <c r="P108" i="4"/>
  <c r="O108" i="4"/>
  <c r="Q108" i="4" s="1"/>
  <c r="P197" i="4"/>
  <c r="O197" i="4"/>
  <c r="Q197" i="4" s="1"/>
  <c r="R197" i="4"/>
  <c r="P201" i="4"/>
  <c r="O201" i="4"/>
  <c r="Q201" i="4" s="1"/>
  <c r="R201" i="4"/>
  <c r="O104" i="4"/>
  <c r="Q104" i="4" s="1"/>
  <c r="P104" i="4"/>
  <c r="P194" i="4"/>
  <c r="O194" i="4"/>
  <c r="Q194" i="4" s="1"/>
  <c r="R180" i="4"/>
  <c r="R196" i="4"/>
  <c r="P196" i="4"/>
  <c r="O196" i="4"/>
  <c r="Q196" i="4" s="1"/>
  <c r="P199" i="4"/>
  <c r="O199" i="4"/>
  <c r="Q199" i="4" s="1"/>
  <c r="R199" i="4"/>
  <c r="P107" i="4"/>
  <c r="O107" i="4"/>
  <c r="Q107" i="4" s="1"/>
  <c r="R200" i="4"/>
  <c r="P200" i="4"/>
  <c r="O200" i="4"/>
  <c r="Q200" i="4" s="1"/>
  <c r="R179" i="4"/>
  <c r="P195" i="4"/>
  <c r="O195" i="4"/>
  <c r="Q195" i="4" s="1"/>
  <c r="R195" i="4"/>
  <c r="P110" i="4"/>
  <c r="R110" i="4"/>
  <c r="O110" i="4"/>
  <c r="Q110" i="4" s="1"/>
  <c r="R93" i="4"/>
  <c r="R91" i="4"/>
  <c r="R198" i="4"/>
  <c r="P198" i="4"/>
  <c r="O198" i="4"/>
  <c r="Q198" i="4" s="1"/>
  <c r="R104" i="4" l="1"/>
  <c r="R107" i="4"/>
  <c r="R194" i="4"/>
  <c r="R108" i="4"/>
  <c r="R106" i="4"/>
  <c r="R105" i="4"/>
  <c r="C226" i="3" l="1"/>
  <c r="F225" i="3"/>
  <c r="E225" i="3"/>
  <c r="C225" i="3"/>
  <c r="D225" i="3" s="1"/>
  <c r="E189" i="3"/>
  <c r="E188" i="3"/>
  <c r="E187" i="3"/>
  <c r="E186" i="3"/>
  <c r="E185" i="3"/>
  <c r="F185" i="3" s="1"/>
  <c r="E184" i="3"/>
  <c r="E183" i="3"/>
  <c r="E182" i="3"/>
  <c r="E181" i="3"/>
  <c r="E180" i="3"/>
  <c r="E179" i="3"/>
  <c r="G178" i="3"/>
  <c r="E178" i="3"/>
  <c r="E177" i="3"/>
  <c r="E174" i="3"/>
  <c r="E173" i="3"/>
  <c r="E172" i="3"/>
  <c r="E171" i="3"/>
  <c r="E170" i="3"/>
  <c r="E169" i="3"/>
  <c r="E168" i="3"/>
  <c r="E167" i="3"/>
  <c r="E166" i="3"/>
  <c r="E165" i="3"/>
  <c r="E164" i="3"/>
  <c r="E163" i="3"/>
  <c r="E161" i="3"/>
  <c r="F159" i="3"/>
  <c r="F158" i="3"/>
  <c r="F157" i="3"/>
  <c r="F156" i="3"/>
  <c r="F155" i="3"/>
  <c r="F154" i="3"/>
  <c r="G153" i="3"/>
  <c r="F153" i="3"/>
  <c r="G152" i="3"/>
  <c r="F152" i="3"/>
  <c r="G151" i="3"/>
  <c r="F151" i="3"/>
  <c r="B151" i="3"/>
  <c r="G150" i="3"/>
  <c r="F150" i="3"/>
  <c r="L157" i="3" s="1"/>
  <c r="G149" i="3"/>
  <c r="F149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2" i="3"/>
  <c r="E221" i="3" s="1"/>
  <c r="E131" i="3"/>
  <c r="E130" i="3"/>
  <c r="E129" i="3"/>
  <c r="E218" i="3" s="1"/>
  <c r="E128" i="3"/>
  <c r="E127" i="3"/>
  <c r="E126" i="3"/>
  <c r="E125" i="3"/>
  <c r="E124" i="3"/>
  <c r="E123" i="3"/>
  <c r="E212" i="3" s="1"/>
  <c r="E122" i="3"/>
  <c r="E211" i="3" s="1"/>
  <c r="E121" i="3"/>
  <c r="E119" i="3"/>
  <c r="G116" i="3" s="1"/>
  <c r="G112" i="3"/>
  <c r="G111" i="3"/>
  <c r="G109" i="3"/>
  <c r="E103" i="3"/>
  <c r="G99" i="3" s="1"/>
  <c r="E102" i="3"/>
  <c r="E101" i="3"/>
  <c r="E100" i="3"/>
  <c r="F100" i="3" s="1"/>
  <c r="E99" i="3"/>
  <c r="F99" i="3" s="1"/>
  <c r="E98" i="3"/>
  <c r="E97" i="3"/>
  <c r="E96" i="3"/>
  <c r="E95" i="3"/>
  <c r="E94" i="3"/>
  <c r="E93" i="3"/>
  <c r="G92" i="3"/>
  <c r="E92" i="3"/>
  <c r="E91" i="3"/>
  <c r="E88" i="3"/>
  <c r="E87" i="3"/>
  <c r="E86" i="3"/>
  <c r="E85" i="3"/>
  <c r="E84" i="3"/>
  <c r="E83" i="3"/>
  <c r="E82" i="3"/>
  <c r="E81" i="3"/>
  <c r="E80" i="3"/>
  <c r="E79" i="3"/>
  <c r="E78" i="3"/>
  <c r="E77" i="3"/>
  <c r="E74" i="3"/>
  <c r="E73" i="3"/>
  <c r="E72" i="3"/>
  <c r="E71" i="3"/>
  <c r="E70" i="3"/>
  <c r="E69" i="3"/>
  <c r="E68" i="3"/>
  <c r="F68" i="3" s="1"/>
  <c r="E67" i="3"/>
  <c r="E66" i="3"/>
  <c r="F66" i="3" s="1"/>
  <c r="E65" i="3"/>
  <c r="E64" i="3"/>
  <c r="E63" i="3"/>
  <c r="E75" i="3" s="1"/>
  <c r="E60" i="3"/>
  <c r="F60" i="3" s="1"/>
  <c r="E59" i="3"/>
  <c r="F59" i="3" s="1"/>
  <c r="E58" i="3"/>
  <c r="E57" i="3"/>
  <c r="E56" i="3"/>
  <c r="E55" i="3"/>
  <c r="F55" i="3" s="1"/>
  <c r="E54" i="3"/>
  <c r="E53" i="3"/>
  <c r="E52" i="3"/>
  <c r="E51" i="3"/>
  <c r="F51" i="3" s="1"/>
  <c r="E50" i="3"/>
  <c r="F50" i="3" s="1"/>
  <c r="E49" i="3"/>
  <c r="E61" i="3" s="1"/>
  <c r="E46" i="3"/>
  <c r="E45" i="3"/>
  <c r="E204" i="3" s="1"/>
  <c r="E44" i="3"/>
  <c r="E203" i="3" s="1"/>
  <c r="E43" i="3"/>
  <c r="E42" i="3"/>
  <c r="E41" i="3"/>
  <c r="E200" i="3" s="1"/>
  <c r="E40" i="3"/>
  <c r="E199" i="3" s="1"/>
  <c r="E39" i="3"/>
  <c r="E198" i="3" s="1"/>
  <c r="E38" i="3"/>
  <c r="E197" i="3" s="1"/>
  <c r="E37" i="3"/>
  <c r="E36" i="3"/>
  <c r="E35" i="3"/>
  <c r="E33" i="3"/>
  <c r="F32" i="3" s="1"/>
  <c r="G26" i="3"/>
  <c r="F25" i="3"/>
  <c r="F23" i="3"/>
  <c r="G21" i="3"/>
  <c r="E17" i="3"/>
  <c r="G16" i="3"/>
  <c r="G17" i="3" s="1"/>
  <c r="E16" i="3"/>
  <c r="B16" i="3"/>
  <c r="B17" i="3" s="1"/>
  <c r="G10" i="3"/>
  <c r="G11" i="3" s="1"/>
  <c r="F61" i="3" l="1"/>
  <c r="G56" i="3"/>
  <c r="G49" i="3"/>
  <c r="B51" i="3" s="1"/>
  <c r="F58" i="3"/>
  <c r="G53" i="3"/>
  <c r="F52" i="3"/>
  <c r="G57" i="3"/>
  <c r="F56" i="3"/>
  <c r="G51" i="3"/>
  <c r="G50" i="3"/>
  <c r="F49" i="3"/>
  <c r="G59" i="3"/>
  <c r="G55" i="3"/>
  <c r="F54" i="3"/>
  <c r="G58" i="3"/>
  <c r="G54" i="3"/>
  <c r="G52" i="3"/>
  <c r="D10" i="3"/>
  <c r="D11" i="3" s="1"/>
  <c r="F53" i="3"/>
  <c r="F57" i="3"/>
  <c r="G28" i="3"/>
  <c r="F75" i="3"/>
  <c r="G70" i="3"/>
  <c r="G71" i="3"/>
  <c r="G72" i="3"/>
  <c r="F72" i="3"/>
  <c r="E228" i="3"/>
  <c r="D226" i="3"/>
  <c r="D229" i="3" s="1"/>
  <c r="F22" i="3"/>
  <c r="G23" i="3"/>
  <c r="G25" i="3"/>
  <c r="F27" i="3"/>
  <c r="F29" i="3"/>
  <c r="F31" i="3"/>
  <c r="F33" i="3"/>
  <c r="E195" i="3"/>
  <c r="E196" i="3"/>
  <c r="E202" i="3"/>
  <c r="F44" i="3"/>
  <c r="E205" i="3"/>
  <c r="F63" i="3"/>
  <c r="G64" i="3"/>
  <c r="G65" i="3"/>
  <c r="F70" i="3"/>
  <c r="F82" i="3"/>
  <c r="F93" i="3"/>
  <c r="F97" i="3"/>
  <c r="F98" i="3"/>
  <c r="F108" i="3"/>
  <c r="G114" i="3"/>
  <c r="E213" i="3"/>
  <c r="F64" i="3"/>
  <c r="G66" i="3"/>
  <c r="F71" i="3"/>
  <c r="G73" i="3"/>
  <c r="G100" i="3"/>
  <c r="G96" i="3"/>
  <c r="G94" i="3"/>
  <c r="G101" i="3"/>
  <c r="G97" i="3"/>
  <c r="G95" i="3"/>
  <c r="F103" i="3"/>
  <c r="G98" i="3"/>
  <c r="G91" i="3"/>
  <c r="B93" i="3" s="1"/>
  <c r="E10" i="3"/>
  <c r="E11" i="3" s="1"/>
  <c r="G22" i="3"/>
  <c r="B23" i="3" s="1"/>
  <c r="F24" i="3"/>
  <c r="G27" i="3"/>
  <c r="G29" i="3"/>
  <c r="G31" i="3"/>
  <c r="E194" i="3"/>
  <c r="E201" i="3"/>
  <c r="G63" i="3"/>
  <c r="B65" i="3" s="1"/>
  <c r="F67" i="3"/>
  <c r="F69" i="3"/>
  <c r="H67" i="3" s="1"/>
  <c r="F91" i="3"/>
  <c r="G93" i="3"/>
  <c r="F95" i="3"/>
  <c r="F96" i="3"/>
  <c r="F172" i="3"/>
  <c r="G30" i="3"/>
  <c r="F65" i="3"/>
  <c r="G68" i="3"/>
  <c r="E89" i="3"/>
  <c r="F81" i="3" s="1"/>
  <c r="F77" i="3"/>
  <c r="F84" i="3"/>
  <c r="B10" i="3"/>
  <c r="B11" i="3" s="1"/>
  <c r="F21" i="3"/>
  <c r="G24" i="3"/>
  <c r="F26" i="3"/>
  <c r="F28" i="3"/>
  <c r="F30" i="3"/>
  <c r="E47" i="3"/>
  <c r="G67" i="3"/>
  <c r="G69" i="3"/>
  <c r="F73" i="3"/>
  <c r="F74" i="3"/>
  <c r="F86" i="3"/>
  <c r="F87" i="3"/>
  <c r="F92" i="3"/>
  <c r="F94" i="3"/>
  <c r="F101" i="3"/>
  <c r="F102" i="3"/>
  <c r="F118" i="3"/>
  <c r="F116" i="3"/>
  <c r="F114" i="3"/>
  <c r="F112" i="3"/>
  <c r="F111" i="3"/>
  <c r="F109" i="3"/>
  <c r="G107" i="3"/>
  <c r="G117" i="3"/>
  <c r="G115" i="3"/>
  <c r="G113" i="3"/>
  <c r="G110" i="3"/>
  <c r="F107" i="3"/>
  <c r="F119" i="3"/>
  <c r="F117" i="3"/>
  <c r="F115" i="3"/>
  <c r="F113" i="3"/>
  <c r="F110" i="3"/>
  <c r="G108" i="3"/>
  <c r="B109" i="3" s="1"/>
  <c r="E147" i="3"/>
  <c r="E215" i="3"/>
  <c r="F128" i="3"/>
  <c r="E210" i="3"/>
  <c r="E133" i="3"/>
  <c r="F124" i="3" s="1"/>
  <c r="F121" i="3"/>
  <c r="L158" i="3"/>
  <c r="E175" i="3"/>
  <c r="F168" i="3" s="1"/>
  <c r="F163" i="3"/>
  <c r="G186" i="3"/>
  <c r="G182" i="3"/>
  <c r="G180" i="3"/>
  <c r="G187" i="3"/>
  <c r="F186" i="3"/>
  <c r="G183" i="3"/>
  <c r="F182" i="3"/>
  <c r="G181" i="3"/>
  <c r="F180" i="3"/>
  <c r="F189" i="3"/>
  <c r="G184" i="3"/>
  <c r="G177" i="3"/>
  <c r="B179" i="3" s="1"/>
  <c r="G179" i="3"/>
  <c r="F177" i="3"/>
  <c r="G185" i="3"/>
  <c r="F184" i="3"/>
  <c r="E217" i="3"/>
  <c r="E214" i="3"/>
  <c r="E216" i="3"/>
  <c r="E220" i="3"/>
  <c r="L152" i="3"/>
  <c r="L153" i="3"/>
  <c r="L154" i="3"/>
  <c r="F179" i="3"/>
  <c r="F183" i="3"/>
  <c r="E219" i="3"/>
  <c r="U159" i="3"/>
  <c r="L155" i="3"/>
  <c r="L159" i="3"/>
  <c r="F181" i="3"/>
  <c r="F130" i="3"/>
  <c r="L156" i="3"/>
  <c r="F161" i="3"/>
  <c r="G158" i="3"/>
  <c r="G156" i="3"/>
  <c r="G154" i="3"/>
  <c r="F160" i="3"/>
  <c r="H153" i="3" s="1"/>
  <c r="G159" i="3"/>
  <c r="G157" i="3"/>
  <c r="G155" i="3"/>
  <c r="F166" i="3"/>
  <c r="F178" i="3"/>
  <c r="F187" i="3"/>
  <c r="F188" i="3"/>
  <c r="G144" i="3" l="1"/>
  <c r="G140" i="3"/>
  <c r="G138" i="3"/>
  <c r="G145" i="3"/>
  <c r="F144" i="3"/>
  <c r="G141" i="3"/>
  <c r="F140" i="3"/>
  <c r="G139" i="3"/>
  <c r="F138" i="3"/>
  <c r="F147" i="3"/>
  <c r="G142" i="3"/>
  <c r="G135" i="3"/>
  <c r="B137" i="3" s="1"/>
  <c r="G143" i="3"/>
  <c r="F142" i="3"/>
  <c r="G136" i="3"/>
  <c r="F135" i="3"/>
  <c r="G137" i="3"/>
  <c r="D16" i="3"/>
  <c r="D17" i="3" s="1"/>
  <c r="H111" i="3"/>
  <c r="F141" i="3"/>
  <c r="F143" i="3"/>
  <c r="F145" i="3"/>
  <c r="F126" i="3"/>
  <c r="F139" i="3"/>
  <c r="L59" i="3"/>
  <c r="L55" i="3"/>
  <c r="U59" i="3"/>
  <c r="L56" i="3"/>
  <c r="L58" i="3"/>
  <c r="L52" i="3"/>
  <c r="L57" i="3"/>
  <c r="L53" i="3"/>
  <c r="L54" i="3"/>
  <c r="F214" i="3"/>
  <c r="T187" i="3"/>
  <c r="T145" i="3"/>
  <c r="J128" i="3"/>
  <c r="T173" i="3"/>
  <c r="T159" i="3"/>
  <c r="J130" i="3"/>
  <c r="J126" i="3"/>
  <c r="J124" i="3"/>
  <c r="J131" i="3"/>
  <c r="J129" i="3"/>
  <c r="J127" i="3"/>
  <c r="J125" i="3"/>
  <c r="T131" i="3"/>
  <c r="H95" i="3"/>
  <c r="F137" i="3"/>
  <c r="E222" i="3"/>
  <c r="G131" i="3"/>
  <c r="G127" i="3"/>
  <c r="G125" i="3"/>
  <c r="F133" i="3"/>
  <c r="F131" i="3"/>
  <c r="G129" i="3"/>
  <c r="F125" i="3"/>
  <c r="G123" i="3"/>
  <c r="G122" i="3"/>
  <c r="F132" i="3"/>
  <c r="G130" i="3"/>
  <c r="G128" i="3"/>
  <c r="G126" i="3"/>
  <c r="F123" i="3"/>
  <c r="L126" i="3" s="1"/>
  <c r="N126" i="3" s="1"/>
  <c r="F122" i="3"/>
  <c r="G124" i="3"/>
  <c r="F129" i="3"/>
  <c r="F127" i="3"/>
  <c r="G121" i="3"/>
  <c r="B123" i="3" s="1"/>
  <c r="C16" i="3"/>
  <c r="C17" i="3" s="1"/>
  <c r="F136" i="3"/>
  <c r="F215" i="3"/>
  <c r="E206" i="3"/>
  <c r="F195" i="3" s="1"/>
  <c r="G43" i="3"/>
  <c r="F42" i="3"/>
  <c r="G37" i="3"/>
  <c r="G36" i="3"/>
  <c r="F35" i="3"/>
  <c r="F45" i="3"/>
  <c r="F46" i="3"/>
  <c r="G44" i="3"/>
  <c r="F43" i="3"/>
  <c r="G40" i="3"/>
  <c r="G38" i="3"/>
  <c r="F37" i="3"/>
  <c r="F36" i="3"/>
  <c r="F47" i="3"/>
  <c r="F39" i="3"/>
  <c r="G45" i="3"/>
  <c r="G41" i="3"/>
  <c r="G39" i="3"/>
  <c r="G42" i="3"/>
  <c r="F41" i="3"/>
  <c r="G35" i="3"/>
  <c r="C10" i="3"/>
  <c r="C11" i="3" s="1"/>
  <c r="T101" i="3"/>
  <c r="T73" i="3"/>
  <c r="J44" i="3"/>
  <c r="J40" i="3"/>
  <c r="J38" i="3"/>
  <c r="J39" i="3"/>
  <c r="T87" i="3"/>
  <c r="T45" i="3"/>
  <c r="J45" i="3"/>
  <c r="J41" i="3"/>
  <c r="J43" i="3"/>
  <c r="T59" i="3"/>
  <c r="J42" i="3"/>
  <c r="G87" i="3"/>
  <c r="G83" i="3"/>
  <c r="G81" i="3"/>
  <c r="F89" i="3"/>
  <c r="G84" i="3"/>
  <c r="G77" i="3"/>
  <c r="G85" i="3"/>
  <c r="G79" i="3"/>
  <c r="G78" i="3"/>
  <c r="F10" i="3"/>
  <c r="F11" i="3" s="1"/>
  <c r="G82" i="3"/>
  <c r="G80" i="3"/>
  <c r="F78" i="3"/>
  <c r="L82" i="3" s="1"/>
  <c r="G86" i="3"/>
  <c r="F88" i="3"/>
  <c r="F85" i="3"/>
  <c r="F79" i="3"/>
  <c r="F80" i="3"/>
  <c r="L73" i="3"/>
  <c r="L69" i="3"/>
  <c r="U73" i="3"/>
  <c r="W73" i="3" s="1"/>
  <c r="L70" i="3"/>
  <c r="L71" i="3"/>
  <c r="L66" i="3"/>
  <c r="L68" i="3"/>
  <c r="L72" i="3"/>
  <c r="L67" i="3"/>
  <c r="F40" i="3"/>
  <c r="H39" i="3" s="1"/>
  <c r="H53" i="3"/>
  <c r="F219" i="3"/>
  <c r="L185" i="3"/>
  <c r="L181" i="3"/>
  <c r="L186" i="3"/>
  <c r="L182" i="3"/>
  <c r="L180" i="3"/>
  <c r="L187" i="3"/>
  <c r="L183" i="3"/>
  <c r="U187" i="3"/>
  <c r="W187" i="3" s="1"/>
  <c r="L184" i="3"/>
  <c r="L130" i="3"/>
  <c r="N130" i="3" s="1"/>
  <c r="U131" i="3"/>
  <c r="W131" i="3" s="1"/>
  <c r="L125" i="3"/>
  <c r="N125" i="3" s="1"/>
  <c r="F146" i="3"/>
  <c r="I195" i="3"/>
  <c r="I194" i="3" s="1"/>
  <c r="H25" i="3"/>
  <c r="F194" i="3"/>
  <c r="F213" i="3"/>
  <c r="F196" i="3"/>
  <c r="F220" i="3"/>
  <c r="W159" i="3"/>
  <c r="F216" i="3"/>
  <c r="H181" i="3"/>
  <c r="I181" i="3" s="1"/>
  <c r="G173" i="3"/>
  <c r="G169" i="3"/>
  <c r="G167" i="3"/>
  <c r="F175" i="3"/>
  <c r="G171" i="3"/>
  <c r="G165" i="3"/>
  <c r="G164" i="3"/>
  <c r="F173" i="3"/>
  <c r="F171" i="3"/>
  <c r="F169" i="3"/>
  <c r="H167" i="3" s="1"/>
  <c r="F164" i="3"/>
  <c r="L168" i="3" s="1"/>
  <c r="F167" i="3"/>
  <c r="U173" i="3" s="1"/>
  <c r="W173" i="3" s="1"/>
  <c r="F165" i="3"/>
  <c r="L172" i="3" s="1"/>
  <c r="G172" i="3"/>
  <c r="G170" i="3"/>
  <c r="G168" i="3"/>
  <c r="G163" i="3"/>
  <c r="B165" i="3" s="1"/>
  <c r="F174" i="3"/>
  <c r="F16" i="3"/>
  <c r="F17" i="3" s="1"/>
  <c r="G166" i="3"/>
  <c r="F210" i="3"/>
  <c r="L99" i="3"/>
  <c r="L95" i="3"/>
  <c r="L100" i="3"/>
  <c r="L96" i="3"/>
  <c r="L94" i="3"/>
  <c r="L101" i="3"/>
  <c r="L97" i="3"/>
  <c r="L98" i="3"/>
  <c r="U101" i="3"/>
  <c r="F201" i="3"/>
  <c r="F83" i="3"/>
  <c r="H81" i="3" s="1"/>
  <c r="F205" i="3"/>
  <c r="F38" i="3"/>
  <c r="F170" i="3"/>
  <c r="O126" i="3" l="1"/>
  <c r="Q126" i="3" s="1"/>
  <c r="R126" i="3"/>
  <c r="J56" i="3"/>
  <c r="K42" i="3"/>
  <c r="L167" i="3"/>
  <c r="J141" i="3"/>
  <c r="K127" i="3"/>
  <c r="K126" i="3"/>
  <c r="P126" i="3" s="1"/>
  <c r="J140" i="3"/>
  <c r="J142" i="3"/>
  <c r="K128" i="3"/>
  <c r="L85" i="3"/>
  <c r="L83" i="3"/>
  <c r="L86" i="3"/>
  <c r="L127" i="3"/>
  <c r="N127" i="3" s="1"/>
  <c r="L131" i="3"/>
  <c r="N131" i="3" s="1"/>
  <c r="J54" i="3"/>
  <c r="K40" i="3"/>
  <c r="L169" i="3"/>
  <c r="L173" i="3"/>
  <c r="K129" i="3"/>
  <c r="J143" i="3"/>
  <c r="K130" i="3"/>
  <c r="J144" i="3"/>
  <c r="N54" i="3"/>
  <c r="L81" i="3"/>
  <c r="L87" i="3"/>
  <c r="O125" i="3"/>
  <c r="Q125" i="3" s="1"/>
  <c r="K45" i="3"/>
  <c r="J59" i="3"/>
  <c r="W101" i="3"/>
  <c r="I167" i="3"/>
  <c r="I153" i="3"/>
  <c r="I111" i="3"/>
  <c r="I81" i="3"/>
  <c r="I95" i="3"/>
  <c r="I39" i="3"/>
  <c r="I53" i="3"/>
  <c r="I67" i="3"/>
  <c r="L129" i="3"/>
  <c r="N129" i="3" s="1"/>
  <c r="L124" i="3"/>
  <c r="N124" i="3" s="1"/>
  <c r="J57" i="3"/>
  <c r="K43" i="3"/>
  <c r="J58" i="3"/>
  <c r="K44" i="3"/>
  <c r="U45" i="3"/>
  <c r="W45" i="3" s="1"/>
  <c r="L42" i="3"/>
  <c r="N42" i="3" s="1"/>
  <c r="L43" i="3"/>
  <c r="N43" i="3" s="1"/>
  <c r="L39" i="3"/>
  <c r="N39" i="3" s="1"/>
  <c r="L45" i="3"/>
  <c r="N45" i="3" s="1"/>
  <c r="L41" i="3"/>
  <c r="N41" i="3" s="1"/>
  <c r="L44" i="3"/>
  <c r="N44" i="3" s="1"/>
  <c r="L40" i="3"/>
  <c r="N40" i="3" s="1"/>
  <c r="L38" i="3"/>
  <c r="N38" i="3" s="1"/>
  <c r="F222" i="3"/>
  <c r="G220" i="3"/>
  <c r="G216" i="3"/>
  <c r="G212" i="3"/>
  <c r="G211" i="3"/>
  <c r="G217" i="3"/>
  <c r="G213" i="3"/>
  <c r="G218" i="3"/>
  <c r="G214" i="3"/>
  <c r="G215" i="3"/>
  <c r="G210" i="3"/>
  <c r="G219" i="3"/>
  <c r="F211" i="3"/>
  <c r="F221" i="3"/>
  <c r="F218" i="3"/>
  <c r="F212" i="3"/>
  <c r="L171" i="3"/>
  <c r="L166" i="3"/>
  <c r="J145" i="3"/>
  <c r="K131" i="3"/>
  <c r="N56" i="3"/>
  <c r="L84" i="3"/>
  <c r="L80" i="3"/>
  <c r="H125" i="3"/>
  <c r="I125" i="3" s="1"/>
  <c r="F217" i="3"/>
  <c r="L143" i="3"/>
  <c r="L139" i="3"/>
  <c r="L144" i="3"/>
  <c r="N144" i="3" s="1"/>
  <c r="L140" i="3"/>
  <c r="N140" i="3" s="1"/>
  <c r="L138" i="3"/>
  <c r="L145" i="3"/>
  <c r="N145" i="3" s="1"/>
  <c r="L141" i="3"/>
  <c r="N141" i="3" s="1"/>
  <c r="U145" i="3"/>
  <c r="W145" i="3" s="1"/>
  <c r="L142" i="3"/>
  <c r="N142" i="3" s="1"/>
  <c r="P130" i="3"/>
  <c r="O130" i="3"/>
  <c r="Q130" i="3" s="1"/>
  <c r="J52" i="3"/>
  <c r="N52" i="3" s="1"/>
  <c r="K38" i="3"/>
  <c r="L128" i="3"/>
  <c r="N128" i="3" s="1"/>
  <c r="B79" i="3"/>
  <c r="K41" i="3"/>
  <c r="J55" i="3"/>
  <c r="J53" i="3"/>
  <c r="K39" i="3"/>
  <c r="B37" i="3"/>
  <c r="G202" i="3"/>
  <c r="G198" i="3"/>
  <c r="G203" i="3"/>
  <c r="G199" i="3"/>
  <c r="F206" i="3"/>
  <c r="G204" i="3"/>
  <c r="G200" i="3"/>
  <c r="G196" i="3"/>
  <c r="G201" i="3"/>
  <c r="G195" i="3"/>
  <c r="G194" i="3"/>
  <c r="B196" i="3" s="1"/>
  <c r="G197" i="3"/>
  <c r="F204" i="3"/>
  <c r="F197" i="3"/>
  <c r="F200" i="3"/>
  <c r="F199" i="3"/>
  <c r="F203" i="3"/>
  <c r="F198" i="3"/>
  <c r="L170" i="3"/>
  <c r="K125" i="3"/>
  <c r="P125" i="3" s="1"/>
  <c r="J139" i="3"/>
  <c r="J138" i="3"/>
  <c r="K124" i="3"/>
  <c r="N57" i="3"/>
  <c r="W59" i="3"/>
  <c r="F202" i="3"/>
  <c r="U87" i="3"/>
  <c r="W87" i="3" s="1"/>
  <c r="H139" i="3"/>
  <c r="I139" i="3" s="1"/>
  <c r="O52" i="3" l="1"/>
  <c r="Q52" i="3" s="1"/>
  <c r="R52" i="3"/>
  <c r="P43" i="3"/>
  <c r="O43" i="3"/>
  <c r="Q43" i="3" s="1"/>
  <c r="J157" i="3"/>
  <c r="K143" i="3"/>
  <c r="J152" i="3"/>
  <c r="K138" i="3"/>
  <c r="J67" i="3"/>
  <c r="K53" i="3"/>
  <c r="O141" i="3"/>
  <c r="Q141" i="3" s="1"/>
  <c r="R141" i="3"/>
  <c r="O144" i="3"/>
  <c r="Q144" i="3" s="1"/>
  <c r="N53" i="3"/>
  <c r="P41" i="3"/>
  <c r="O41" i="3"/>
  <c r="Q41" i="3" s="1"/>
  <c r="P42" i="3"/>
  <c r="O42" i="3"/>
  <c r="Q42" i="3" s="1"/>
  <c r="R42" i="3"/>
  <c r="J73" i="3"/>
  <c r="K59" i="3"/>
  <c r="P54" i="3"/>
  <c r="O54" i="3"/>
  <c r="Q54" i="3" s="1"/>
  <c r="R54" i="3"/>
  <c r="K54" i="3"/>
  <c r="J68" i="3"/>
  <c r="P127" i="3"/>
  <c r="O127" i="3"/>
  <c r="Q127" i="3" s="1"/>
  <c r="J70" i="3"/>
  <c r="K56" i="3"/>
  <c r="R56" i="3"/>
  <c r="P56" i="3"/>
  <c r="O56" i="3"/>
  <c r="Q56" i="3" s="1"/>
  <c r="J72" i="3"/>
  <c r="K58" i="3"/>
  <c r="J153" i="3"/>
  <c r="K139" i="3"/>
  <c r="J69" i="3"/>
  <c r="K55" i="3"/>
  <c r="O145" i="3"/>
  <c r="Q145" i="3" s="1"/>
  <c r="N139" i="3"/>
  <c r="O38" i="3"/>
  <c r="Q38" i="3" s="1"/>
  <c r="P38" i="3"/>
  <c r="R38" i="3"/>
  <c r="P45" i="3"/>
  <c r="O45" i="3"/>
  <c r="Q45" i="3" s="1"/>
  <c r="R45" i="3"/>
  <c r="J71" i="3"/>
  <c r="K57" i="3"/>
  <c r="O124" i="3"/>
  <c r="Q124" i="3" s="1"/>
  <c r="R124" i="3"/>
  <c r="P124" i="3"/>
  <c r="R125" i="3"/>
  <c r="K144" i="3"/>
  <c r="P144" i="3" s="1"/>
  <c r="J158" i="3"/>
  <c r="K142" i="3"/>
  <c r="J156" i="3"/>
  <c r="J155" i="3"/>
  <c r="K141" i="3"/>
  <c r="P141" i="3" s="1"/>
  <c r="O128" i="3"/>
  <c r="Q128" i="3" s="1"/>
  <c r="R128" i="3"/>
  <c r="P128" i="3"/>
  <c r="K52" i="3"/>
  <c r="P52" i="3" s="1"/>
  <c r="J66" i="3"/>
  <c r="R140" i="3"/>
  <c r="P140" i="3"/>
  <c r="O140" i="3"/>
  <c r="Q140" i="3" s="1"/>
  <c r="O44" i="3"/>
  <c r="Q44" i="3" s="1"/>
  <c r="R44" i="3"/>
  <c r="P44" i="3"/>
  <c r="N58" i="3"/>
  <c r="R131" i="3"/>
  <c r="P131" i="3"/>
  <c r="O131" i="3"/>
  <c r="Q131" i="3" s="1"/>
  <c r="O57" i="3"/>
  <c r="Q57" i="3" s="1"/>
  <c r="P57" i="3"/>
  <c r="R130" i="3"/>
  <c r="P142" i="3"/>
  <c r="O142" i="3"/>
  <c r="Q142" i="3" s="1"/>
  <c r="R142" i="3"/>
  <c r="N138" i="3"/>
  <c r="N143" i="3"/>
  <c r="J159" i="3"/>
  <c r="K145" i="3"/>
  <c r="P145" i="3" s="1"/>
  <c r="B212" i="3"/>
  <c r="O40" i="3"/>
  <c r="Q40" i="3" s="1"/>
  <c r="P40" i="3"/>
  <c r="R39" i="3"/>
  <c r="O39" i="3"/>
  <c r="Q39" i="3" s="1"/>
  <c r="P39" i="3"/>
  <c r="P129" i="3"/>
  <c r="R129" i="3"/>
  <c r="O129" i="3"/>
  <c r="Q129" i="3" s="1"/>
  <c r="N59" i="3"/>
  <c r="N55" i="3"/>
  <c r="K140" i="3"/>
  <c r="J154" i="3"/>
  <c r="P59" i="3" l="1"/>
  <c r="R59" i="3"/>
  <c r="O59" i="3"/>
  <c r="Q59" i="3" s="1"/>
  <c r="K159" i="3"/>
  <c r="J173" i="3"/>
  <c r="N159" i="3"/>
  <c r="K68" i="3"/>
  <c r="J82" i="3"/>
  <c r="N68" i="3"/>
  <c r="K157" i="3"/>
  <c r="J171" i="3"/>
  <c r="N157" i="3"/>
  <c r="R57" i="3"/>
  <c r="J170" i="3"/>
  <c r="K156" i="3"/>
  <c r="N156" i="3"/>
  <c r="J172" i="3"/>
  <c r="K158" i="3"/>
  <c r="N158" i="3"/>
  <c r="J85" i="3"/>
  <c r="K71" i="3"/>
  <c r="N71" i="3"/>
  <c r="P139" i="3"/>
  <c r="O139" i="3"/>
  <c r="Q139" i="3" s="1"/>
  <c r="R139" i="3"/>
  <c r="J166" i="3"/>
  <c r="K152" i="3"/>
  <c r="N152" i="3"/>
  <c r="J168" i="3"/>
  <c r="K154" i="3"/>
  <c r="N154" i="3"/>
  <c r="P55" i="3"/>
  <c r="O55" i="3"/>
  <c r="Q55" i="3" s="1"/>
  <c r="P143" i="3"/>
  <c r="O143" i="3"/>
  <c r="Q143" i="3" s="1"/>
  <c r="R143" i="3"/>
  <c r="P58" i="3"/>
  <c r="O58" i="3"/>
  <c r="Q58" i="3" s="1"/>
  <c r="R58" i="3"/>
  <c r="J80" i="3"/>
  <c r="K66" i="3"/>
  <c r="N66" i="3"/>
  <c r="K69" i="3"/>
  <c r="J83" i="3"/>
  <c r="N69" i="3"/>
  <c r="K72" i="3"/>
  <c r="J86" i="3"/>
  <c r="N72" i="3"/>
  <c r="R144" i="3"/>
  <c r="K155" i="3"/>
  <c r="J169" i="3"/>
  <c r="N155" i="3"/>
  <c r="J167" i="3"/>
  <c r="K153" i="3"/>
  <c r="N153" i="3"/>
  <c r="R40" i="3"/>
  <c r="R138" i="3"/>
  <c r="P138" i="3"/>
  <c r="O138" i="3"/>
  <c r="Q138" i="3" s="1"/>
  <c r="R145" i="3"/>
  <c r="J84" i="3"/>
  <c r="K70" i="3"/>
  <c r="N70" i="3"/>
  <c r="R127" i="3"/>
  <c r="K73" i="3"/>
  <c r="J87" i="3"/>
  <c r="N73" i="3"/>
  <c r="R41" i="3"/>
  <c r="O53" i="3"/>
  <c r="Q53" i="3" s="1"/>
  <c r="P53" i="3"/>
  <c r="J81" i="3"/>
  <c r="K67" i="3"/>
  <c r="N67" i="3"/>
  <c r="R43" i="3"/>
  <c r="J98" i="3" l="1"/>
  <c r="K84" i="3"/>
  <c r="N84" i="3"/>
  <c r="K167" i="3"/>
  <c r="J181" i="3"/>
  <c r="N167" i="3"/>
  <c r="K166" i="3"/>
  <c r="J180" i="3"/>
  <c r="N166" i="3"/>
  <c r="P159" i="3"/>
  <c r="R159" i="3"/>
  <c r="O159" i="3"/>
  <c r="Q159" i="3" s="1"/>
  <c r="K81" i="3"/>
  <c r="J95" i="3"/>
  <c r="N81" i="3"/>
  <c r="P72" i="3"/>
  <c r="O72" i="3"/>
  <c r="Q72" i="3" s="1"/>
  <c r="R72" i="3"/>
  <c r="K172" i="3"/>
  <c r="J186" i="3"/>
  <c r="N172" i="3"/>
  <c r="P68" i="3"/>
  <c r="R68" i="3"/>
  <c r="O68" i="3"/>
  <c r="Q68" i="3" s="1"/>
  <c r="J187" i="3"/>
  <c r="K173" i="3"/>
  <c r="N173" i="3"/>
  <c r="P73" i="3"/>
  <c r="O73" i="3"/>
  <c r="Q73" i="3" s="1"/>
  <c r="R73" i="3"/>
  <c r="P70" i="3"/>
  <c r="O70" i="3"/>
  <c r="Q70" i="3" s="1"/>
  <c r="O153" i="3"/>
  <c r="Q153" i="3" s="1"/>
  <c r="P153" i="3"/>
  <c r="J183" i="3"/>
  <c r="K169" i="3"/>
  <c r="N169" i="3"/>
  <c r="K86" i="3"/>
  <c r="J100" i="3"/>
  <c r="N86" i="3"/>
  <c r="O152" i="3"/>
  <c r="Q152" i="3" s="1"/>
  <c r="P152" i="3"/>
  <c r="K85" i="3"/>
  <c r="J99" i="3"/>
  <c r="N85" i="3"/>
  <c r="R156" i="3"/>
  <c r="P156" i="3"/>
  <c r="O156" i="3"/>
  <c r="Q156" i="3" s="1"/>
  <c r="P157" i="3"/>
  <c r="O157" i="3"/>
  <c r="Q157" i="3" s="1"/>
  <c r="K82" i="3"/>
  <c r="J96" i="3"/>
  <c r="N82" i="3"/>
  <c r="O69" i="3"/>
  <c r="Q69" i="3" s="1"/>
  <c r="P69" i="3"/>
  <c r="O71" i="3"/>
  <c r="Q71" i="3" s="1"/>
  <c r="R71" i="3"/>
  <c r="P71" i="3"/>
  <c r="J184" i="3"/>
  <c r="K170" i="3"/>
  <c r="N170" i="3"/>
  <c r="P155" i="3"/>
  <c r="O155" i="3"/>
  <c r="Q155" i="3" s="1"/>
  <c r="J97" i="3"/>
  <c r="K83" i="3"/>
  <c r="N83" i="3"/>
  <c r="K80" i="3"/>
  <c r="J94" i="3"/>
  <c r="N80" i="3"/>
  <c r="R55" i="3"/>
  <c r="J182" i="3"/>
  <c r="K168" i="3"/>
  <c r="N168" i="3"/>
  <c r="R53" i="3"/>
  <c r="P67" i="3"/>
  <c r="O67" i="3"/>
  <c r="Q67" i="3" s="1"/>
  <c r="J101" i="3"/>
  <c r="K87" i="3"/>
  <c r="N87" i="3"/>
  <c r="P66" i="3"/>
  <c r="O66" i="3"/>
  <c r="Q66" i="3" s="1"/>
  <c r="R154" i="3"/>
  <c r="P154" i="3"/>
  <c r="O154" i="3"/>
  <c r="Q154" i="3" s="1"/>
  <c r="R158" i="3"/>
  <c r="P158" i="3"/>
  <c r="O158" i="3"/>
  <c r="Q158" i="3" s="1"/>
  <c r="K171" i="3"/>
  <c r="J185" i="3"/>
  <c r="N171" i="3"/>
  <c r="P171" i="3" l="1"/>
  <c r="R171" i="3"/>
  <c r="O171" i="3"/>
  <c r="Q171" i="3" s="1"/>
  <c r="K94" i="3"/>
  <c r="N94" i="3"/>
  <c r="K97" i="3"/>
  <c r="N97" i="3"/>
  <c r="P167" i="3"/>
  <c r="O167" i="3"/>
  <c r="Q167" i="3" s="1"/>
  <c r="K185" i="3"/>
  <c r="N185" i="3"/>
  <c r="R157" i="3"/>
  <c r="K187" i="3"/>
  <c r="N187" i="3"/>
  <c r="O172" i="3"/>
  <c r="Q172" i="3" s="1"/>
  <c r="R172" i="3"/>
  <c r="P172" i="3"/>
  <c r="O166" i="3"/>
  <c r="Q166" i="3" s="1"/>
  <c r="P166" i="3"/>
  <c r="R166" i="3"/>
  <c r="K181" i="3"/>
  <c r="N181" i="3"/>
  <c r="K98" i="3"/>
  <c r="N98" i="3"/>
  <c r="R66" i="3"/>
  <c r="K101" i="3"/>
  <c r="N101" i="3"/>
  <c r="R83" i="3"/>
  <c r="P83" i="3"/>
  <c r="O83" i="3"/>
  <c r="Q83" i="3" s="1"/>
  <c r="R155" i="3"/>
  <c r="K184" i="3"/>
  <c r="N184" i="3"/>
  <c r="K96" i="3"/>
  <c r="N96" i="3"/>
  <c r="P85" i="3"/>
  <c r="O85" i="3"/>
  <c r="Q85" i="3" s="1"/>
  <c r="R152" i="3"/>
  <c r="K186" i="3"/>
  <c r="N186" i="3"/>
  <c r="K180" i="3"/>
  <c r="N180" i="3"/>
  <c r="R87" i="3"/>
  <c r="P87" i="3"/>
  <c r="O87" i="3"/>
  <c r="Q87" i="3" s="1"/>
  <c r="O170" i="3"/>
  <c r="Q170" i="3" s="1"/>
  <c r="R170" i="3"/>
  <c r="P170" i="3"/>
  <c r="P86" i="3"/>
  <c r="O86" i="3"/>
  <c r="Q86" i="3" s="1"/>
  <c r="R86" i="3"/>
  <c r="K95" i="3"/>
  <c r="N95" i="3"/>
  <c r="K182" i="3"/>
  <c r="N182" i="3"/>
  <c r="P82" i="3"/>
  <c r="O82" i="3"/>
  <c r="Q82" i="3" s="1"/>
  <c r="K100" i="3"/>
  <c r="N100" i="3"/>
  <c r="K183" i="3"/>
  <c r="N183" i="3"/>
  <c r="R67" i="3"/>
  <c r="O168" i="3"/>
  <c r="Q168" i="3" s="1"/>
  <c r="P168" i="3"/>
  <c r="P80" i="3"/>
  <c r="O80" i="3"/>
  <c r="Q80" i="3" s="1"/>
  <c r="R69" i="3"/>
  <c r="K99" i="3"/>
  <c r="N99" i="3"/>
  <c r="P169" i="3"/>
  <c r="O169" i="3"/>
  <c r="Q169" i="3" s="1"/>
  <c r="R153" i="3"/>
  <c r="R70" i="3"/>
  <c r="P173" i="3"/>
  <c r="O173" i="3"/>
  <c r="Q173" i="3" s="1"/>
  <c r="P81" i="3"/>
  <c r="O81" i="3"/>
  <c r="Q81" i="3" s="1"/>
  <c r="R81" i="3"/>
  <c r="O84" i="3"/>
  <c r="Q84" i="3" s="1"/>
  <c r="P84" i="3"/>
  <c r="P99" i="3" l="1"/>
  <c r="O99" i="3"/>
  <c r="Q99" i="3" s="1"/>
  <c r="R99" i="3"/>
  <c r="R167" i="3"/>
  <c r="R173" i="3"/>
  <c r="O183" i="3"/>
  <c r="Q183" i="3" s="1"/>
  <c r="R183" i="3"/>
  <c r="P183" i="3"/>
  <c r="R82" i="3"/>
  <c r="P180" i="3"/>
  <c r="O180" i="3"/>
  <c r="Q180" i="3" s="1"/>
  <c r="P96" i="3"/>
  <c r="O96" i="3"/>
  <c r="Q96" i="3" s="1"/>
  <c r="O101" i="3"/>
  <c r="Q101" i="3" s="1"/>
  <c r="P101" i="3"/>
  <c r="P185" i="3"/>
  <c r="O185" i="3"/>
  <c r="Q185" i="3" s="1"/>
  <c r="P100" i="3"/>
  <c r="O100" i="3"/>
  <c r="Q100" i="3" s="1"/>
  <c r="P186" i="3"/>
  <c r="O186" i="3"/>
  <c r="Q186" i="3" s="1"/>
  <c r="P184" i="3"/>
  <c r="O184" i="3"/>
  <c r="Q184" i="3" s="1"/>
  <c r="R184" i="3"/>
  <c r="R182" i="3"/>
  <c r="P182" i="3"/>
  <c r="O182" i="3"/>
  <c r="Q182" i="3" s="1"/>
  <c r="P98" i="3"/>
  <c r="O98" i="3"/>
  <c r="Q98" i="3" s="1"/>
  <c r="P94" i="3"/>
  <c r="O94" i="3"/>
  <c r="Q94" i="3" s="1"/>
  <c r="R84" i="3"/>
  <c r="R169" i="3"/>
  <c r="R80" i="3"/>
  <c r="R168" i="3"/>
  <c r="P95" i="3"/>
  <c r="O95" i="3"/>
  <c r="Q95" i="3" s="1"/>
  <c r="R95" i="3"/>
  <c r="R85" i="3"/>
  <c r="P181" i="3"/>
  <c r="O181" i="3"/>
  <c r="Q181" i="3" s="1"/>
  <c r="R181" i="3"/>
  <c r="O187" i="3"/>
  <c r="Q187" i="3" s="1"/>
  <c r="P187" i="3"/>
  <c r="O97" i="3"/>
  <c r="Q97" i="3" s="1"/>
  <c r="R97" i="3"/>
  <c r="P97" i="3"/>
  <c r="R187" i="3" l="1"/>
  <c r="R98" i="3"/>
  <c r="R100" i="3"/>
  <c r="R180" i="3"/>
  <c r="R94" i="3"/>
  <c r="R186" i="3"/>
  <c r="R185" i="3"/>
  <c r="R101" i="3"/>
  <c r="R96" i="3"/>
  <c r="E189" i="2" l="1"/>
  <c r="E188" i="2"/>
  <c r="E187" i="2"/>
  <c r="E186" i="2"/>
  <c r="E185" i="2"/>
  <c r="F185" i="2" s="1"/>
  <c r="E184" i="2"/>
  <c r="E183" i="2"/>
  <c r="E182" i="2"/>
  <c r="E181" i="2"/>
  <c r="E180" i="2"/>
  <c r="E179" i="2"/>
  <c r="G178" i="2"/>
  <c r="E178" i="2"/>
  <c r="E177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1" i="2"/>
  <c r="F161" i="2" s="1"/>
  <c r="F159" i="2"/>
  <c r="F158" i="2"/>
  <c r="F157" i="2"/>
  <c r="F156" i="2"/>
  <c r="G155" i="2"/>
  <c r="F155" i="2"/>
  <c r="G154" i="2"/>
  <c r="F154" i="2"/>
  <c r="G153" i="2"/>
  <c r="F153" i="2"/>
  <c r="G152" i="2"/>
  <c r="F152" i="2"/>
  <c r="G151" i="2"/>
  <c r="F151" i="2"/>
  <c r="G150" i="2"/>
  <c r="B151" i="2" s="1"/>
  <c r="F150" i="2"/>
  <c r="G149" i="2"/>
  <c r="F149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2" i="2"/>
  <c r="E221" i="2" s="1"/>
  <c r="E131" i="2"/>
  <c r="E130" i="2"/>
  <c r="E129" i="2"/>
  <c r="E218" i="2" s="1"/>
  <c r="E128" i="2"/>
  <c r="E127" i="2"/>
  <c r="J126" i="2"/>
  <c r="E126" i="2"/>
  <c r="E125" i="2"/>
  <c r="E124" i="2"/>
  <c r="E213" i="2" s="1"/>
  <c r="E123" i="2"/>
  <c r="E212" i="2" s="1"/>
  <c r="E122" i="2"/>
  <c r="E211" i="2" s="1"/>
  <c r="E121" i="2"/>
  <c r="F119" i="2"/>
  <c r="E119" i="2"/>
  <c r="G117" i="2" s="1"/>
  <c r="F118" i="2"/>
  <c r="F117" i="2"/>
  <c r="G116" i="2"/>
  <c r="F116" i="2"/>
  <c r="F115" i="2"/>
  <c r="G114" i="2"/>
  <c r="F114" i="2"/>
  <c r="F113" i="2"/>
  <c r="H111" i="2" s="1"/>
  <c r="G112" i="2"/>
  <c r="F112" i="2"/>
  <c r="G111" i="2"/>
  <c r="F111" i="2"/>
  <c r="G110" i="2"/>
  <c r="F110" i="2"/>
  <c r="J124" i="2" s="1"/>
  <c r="G109" i="2"/>
  <c r="F109" i="2"/>
  <c r="J130" i="2" s="1"/>
  <c r="G108" i="2"/>
  <c r="B109" i="2" s="1"/>
  <c r="F108" i="2"/>
  <c r="G107" i="2"/>
  <c r="F107" i="2"/>
  <c r="F103" i="2"/>
  <c r="E103" i="2"/>
  <c r="F102" i="2"/>
  <c r="G101" i="2"/>
  <c r="F101" i="2"/>
  <c r="G100" i="2"/>
  <c r="F100" i="2"/>
  <c r="G99" i="2"/>
  <c r="F99" i="2"/>
  <c r="G98" i="2"/>
  <c r="F98" i="2"/>
  <c r="G97" i="2"/>
  <c r="F97" i="2"/>
  <c r="G96" i="2"/>
  <c r="F96" i="2"/>
  <c r="H95" i="2" s="1"/>
  <c r="G95" i="2"/>
  <c r="F95" i="2"/>
  <c r="G94" i="2"/>
  <c r="F94" i="2"/>
  <c r="G93" i="2"/>
  <c r="F93" i="2"/>
  <c r="L98" i="2" s="1"/>
  <c r="G92" i="2"/>
  <c r="F92" i="2"/>
  <c r="G91" i="2"/>
  <c r="B93" i="2" s="1"/>
  <c r="F91" i="2"/>
  <c r="E88" i="2"/>
  <c r="E87" i="2"/>
  <c r="E86" i="2"/>
  <c r="E85" i="2"/>
  <c r="E84" i="2"/>
  <c r="E83" i="2"/>
  <c r="E82" i="2"/>
  <c r="E81" i="2"/>
  <c r="E80" i="2"/>
  <c r="E79" i="2"/>
  <c r="E78" i="2"/>
  <c r="E77" i="2"/>
  <c r="E74" i="2"/>
  <c r="E73" i="2"/>
  <c r="E72" i="2"/>
  <c r="E71" i="2"/>
  <c r="E70" i="2"/>
  <c r="E69" i="2"/>
  <c r="E68" i="2"/>
  <c r="E67" i="2"/>
  <c r="E66" i="2"/>
  <c r="E65" i="2"/>
  <c r="E64" i="2"/>
  <c r="E63" i="2"/>
  <c r="E60" i="2"/>
  <c r="E59" i="2"/>
  <c r="E58" i="2"/>
  <c r="E57" i="2"/>
  <c r="E56" i="2"/>
  <c r="E55" i="2"/>
  <c r="E54" i="2"/>
  <c r="E53" i="2"/>
  <c r="E52" i="2"/>
  <c r="E51" i="2"/>
  <c r="E50" i="2"/>
  <c r="E49" i="2"/>
  <c r="E46" i="2"/>
  <c r="E45" i="2"/>
  <c r="E204" i="2" s="1"/>
  <c r="E44" i="2"/>
  <c r="E203" i="2" s="1"/>
  <c r="E43" i="2"/>
  <c r="E42" i="2"/>
  <c r="E201" i="2" s="1"/>
  <c r="E41" i="2"/>
  <c r="E200" i="2" s="1"/>
  <c r="E40" i="2"/>
  <c r="E199" i="2" s="1"/>
  <c r="E39" i="2"/>
  <c r="E198" i="2" s="1"/>
  <c r="E38" i="2"/>
  <c r="E197" i="2" s="1"/>
  <c r="E37" i="2"/>
  <c r="E36" i="2"/>
  <c r="E35" i="2"/>
  <c r="E33" i="2"/>
  <c r="F32" i="2" s="1"/>
  <c r="G28" i="2"/>
  <c r="G26" i="2"/>
  <c r="F25" i="2"/>
  <c r="G24" i="2"/>
  <c r="F23" i="2"/>
  <c r="G21" i="2"/>
  <c r="F21" i="2"/>
  <c r="E17" i="2"/>
  <c r="G16" i="2"/>
  <c r="G17" i="2" s="1"/>
  <c r="E16" i="2"/>
  <c r="B16" i="2"/>
  <c r="B17" i="2" s="1"/>
  <c r="G10" i="2"/>
  <c r="G11" i="2" s="1"/>
  <c r="B10" i="2"/>
  <c r="B11" i="2" s="1"/>
  <c r="F53" i="2" l="1"/>
  <c r="F50" i="2"/>
  <c r="F58" i="2"/>
  <c r="E75" i="2"/>
  <c r="F63" i="2" s="1"/>
  <c r="F74" i="2"/>
  <c r="J144" i="2"/>
  <c r="K130" i="2"/>
  <c r="F22" i="2"/>
  <c r="J45" i="2" s="1"/>
  <c r="G23" i="2"/>
  <c r="G25" i="2"/>
  <c r="F27" i="2"/>
  <c r="T73" i="2" s="1"/>
  <c r="F29" i="2"/>
  <c r="F31" i="2"/>
  <c r="F33" i="2"/>
  <c r="E195" i="2"/>
  <c r="E196" i="2"/>
  <c r="E202" i="2"/>
  <c r="F44" i="2"/>
  <c r="E205" i="2"/>
  <c r="E61" i="2"/>
  <c r="F71" i="2"/>
  <c r="E89" i="2"/>
  <c r="F87" i="2" s="1"/>
  <c r="J140" i="2"/>
  <c r="K126" i="2"/>
  <c r="E220" i="2"/>
  <c r="F131" i="2"/>
  <c r="E133" i="2"/>
  <c r="F127" i="2" s="1"/>
  <c r="G30" i="2"/>
  <c r="G22" i="2"/>
  <c r="B23" i="2" s="1"/>
  <c r="F24" i="2"/>
  <c r="G27" i="2"/>
  <c r="G29" i="2"/>
  <c r="G31" i="2"/>
  <c r="E194" i="2"/>
  <c r="J41" i="2"/>
  <c r="F56" i="2"/>
  <c r="F60" i="2"/>
  <c r="F70" i="2"/>
  <c r="F80" i="2"/>
  <c r="F83" i="2"/>
  <c r="U101" i="2"/>
  <c r="L96" i="2"/>
  <c r="J138" i="2"/>
  <c r="K124" i="2"/>
  <c r="F26" i="2"/>
  <c r="F28" i="2"/>
  <c r="F30" i="2"/>
  <c r="J44" i="2" s="1"/>
  <c r="J38" i="2"/>
  <c r="E47" i="2"/>
  <c r="T87" i="2"/>
  <c r="L156" i="2"/>
  <c r="L152" i="2"/>
  <c r="L159" i="2"/>
  <c r="L101" i="2"/>
  <c r="L99" i="2"/>
  <c r="L100" i="2"/>
  <c r="F142" i="2"/>
  <c r="L94" i="2"/>
  <c r="L95" i="2"/>
  <c r="L97" i="2"/>
  <c r="E216" i="2"/>
  <c r="E147" i="2"/>
  <c r="F140" i="2"/>
  <c r="E175" i="2"/>
  <c r="F163" i="2" s="1"/>
  <c r="T173" i="2"/>
  <c r="E214" i="2"/>
  <c r="F125" i="2"/>
  <c r="G186" i="2"/>
  <c r="G182" i="2"/>
  <c r="G180" i="2"/>
  <c r="G187" i="2"/>
  <c r="F186" i="2"/>
  <c r="G183" i="2"/>
  <c r="F182" i="2"/>
  <c r="H181" i="2" s="1"/>
  <c r="G181" i="2"/>
  <c r="F180" i="2"/>
  <c r="F189" i="2"/>
  <c r="G184" i="2"/>
  <c r="G177" i="2"/>
  <c r="B179" i="2" s="1"/>
  <c r="G179" i="2"/>
  <c r="F177" i="2"/>
  <c r="G185" i="2"/>
  <c r="F184" i="2"/>
  <c r="E217" i="2"/>
  <c r="J125" i="2"/>
  <c r="E215" i="2"/>
  <c r="J129" i="2"/>
  <c r="E219" i="2"/>
  <c r="U159" i="2"/>
  <c r="W159" i="2" s="1"/>
  <c r="L158" i="2"/>
  <c r="L154" i="2"/>
  <c r="L157" i="2"/>
  <c r="F166" i="2"/>
  <c r="F168" i="2"/>
  <c r="F179" i="2"/>
  <c r="F183" i="2"/>
  <c r="J128" i="2"/>
  <c r="T145" i="2"/>
  <c r="F181" i="2"/>
  <c r="T187" i="2"/>
  <c r="T159" i="2"/>
  <c r="G113" i="2"/>
  <c r="G115" i="2"/>
  <c r="E210" i="2"/>
  <c r="J127" i="2"/>
  <c r="F129" i="2"/>
  <c r="J131" i="2"/>
  <c r="T131" i="2"/>
  <c r="F132" i="2"/>
  <c r="F135" i="2"/>
  <c r="L153" i="2"/>
  <c r="L155" i="2"/>
  <c r="F172" i="2"/>
  <c r="F178" i="2"/>
  <c r="F187" i="2"/>
  <c r="F188" i="2"/>
  <c r="G157" i="2"/>
  <c r="G159" i="2"/>
  <c r="F160" i="2"/>
  <c r="H153" i="2" s="1"/>
  <c r="G156" i="2"/>
  <c r="G158" i="2"/>
  <c r="L166" i="2" l="1"/>
  <c r="L167" i="2"/>
  <c r="J59" i="2"/>
  <c r="K45" i="2"/>
  <c r="J58" i="2"/>
  <c r="K44" i="2"/>
  <c r="J141" i="2"/>
  <c r="K127" i="2"/>
  <c r="K125" i="2"/>
  <c r="J139" i="2"/>
  <c r="L185" i="2"/>
  <c r="L181" i="2"/>
  <c r="L186" i="2"/>
  <c r="L182" i="2"/>
  <c r="L180" i="2"/>
  <c r="L187" i="2"/>
  <c r="L183" i="2"/>
  <c r="U187" i="2"/>
  <c r="W187" i="2" s="1"/>
  <c r="L184" i="2"/>
  <c r="F214" i="2"/>
  <c r="K41" i="2"/>
  <c r="J55" i="2"/>
  <c r="T59" i="2"/>
  <c r="F202" i="2"/>
  <c r="F195" i="2"/>
  <c r="J43" i="2"/>
  <c r="J42" i="2"/>
  <c r="F123" i="2"/>
  <c r="G143" i="2"/>
  <c r="G137" i="2"/>
  <c r="G136" i="2"/>
  <c r="F146" i="2"/>
  <c r="G144" i="2"/>
  <c r="F143" i="2"/>
  <c r="G140" i="2"/>
  <c r="G138" i="2"/>
  <c r="F137" i="2"/>
  <c r="L139" i="2" s="1"/>
  <c r="N139" i="2" s="1"/>
  <c r="F136" i="2"/>
  <c r="G145" i="2"/>
  <c r="G141" i="2"/>
  <c r="G139" i="2"/>
  <c r="F139" i="2"/>
  <c r="G135" i="2"/>
  <c r="B137" i="2" s="1"/>
  <c r="G142" i="2"/>
  <c r="F141" i="2"/>
  <c r="H139" i="2" s="1"/>
  <c r="F147" i="2"/>
  <c r="F145" i="2"/>
  <c r="D16" i="2"/>
  <c r="D17" i="2" s="1"/>
  <c r="E206" i="2"/>
  <c r="G43" i="2"/>
  <c r="F42" i="2"/>
  <c r="G37" i="2"/>
  <c r="G36" i="2"/>
  <c r="B37" i="2" s="1"/>
  <c r="F35" i="2"/>
  <c r="F46" i="2"/>
  <c r="G44" i="2"/>
  <c r="F43" i="2"/>
  <c r="G40" i="2"/>
  <c r="G38" i="2"/>
  <c r="F37" i="2"/>
  <c r="F36" i="2"/>
  <c r="F47" i="2"/>
  <c r="F45" i="2"/>
  <c r="G35" i="2"/>
  <c r="G45" i="2"/>
  <c r="G41" i="2"/>
  <c r="G39" i="2"/>
  <c r="G42" i="2"/>
  <c r="F41" i="2"/>
  <c r="F39" i="2"/>
  <c r="C10" i="2"/>
  <c r="C11" i="2" s="1"/>
  <c r="J40" i="2"/>
  <c r="J152" i="2"/>
  <c r="K138" i="2"/>
  <c r="F82" i="2"/>
  <c r="H81" i="2" s="1"/>
  <c r="F69" i="2"/>
  <c r="T45" i="2"/>
  <c r="F194" i="2"/>
  <c r="T101" i="2"/>
  <c r="W101" i="2" s="1"/>
  <c r="F84" i="2"/>
  <c r="G57" i="2"/>
  <c r="F61" i="2"/>
  <c r="F59" i="2"/>
  <c r="G56" i="2"/>
  <c r="G55" i="2"/>
  <c r="G49" i="2"/>
  <c r="B51" i="2" s="1"/>
  <c r="F55" i="2"/>
  <c r="G51" i="2"/>
  <c r="G50" i="2"/>
  <c r="F49" i="2"/>
  <c r="F54" i="2"/>
  <c r="G54" i="2"/>
  <c r="G52" i="2"/>
  <c r="D10" i="2"/>
  <c r="D11" i="2" s="1"/>
  <c r="G59" i="2"/>
  <c r="G58" i="2"/>
  <c r="G53" i="2"/>
  <c r="F52" i="2"/>
  <c r="F40" i="2"/>
  <c r="J158" i="2"/>
  <c r="K144" i="2"/>
  <c r="F73" i="2"/>
  <c r="J39" i="2"/>
  <c r="J145" i="2"/>
  <c r="K131" i="2"/>
  <c r="F122" i="2"/>
  <c r="K128" i="2"/>
  <c r="J142" i="2"/>
  <c r="N154" i="2"/>
  <c r="K129" i="2"/>
  <c r="J143" i="2"/>
  <c r="F138" i="2"/>
  <c r="N152" i="2"/>
  <c r="I195" i="2"/>
  <c r="I194" i="2" s="1"/>
  <c r="H25" i="2"/>
  <c r="F81" i="2"/>
  <c r="F67" i="2"/>
  <c r="F144" i="2"/>
  <c r="F77" i="2"/>
  <c r="F205" i="2"/>
  <c r="F38" i="2"/>
  <c r="F51" i="2"/>
  <c r="F57" i="2"/>
  <c r="L143" i="2"/>
  <c r="N143" i="2" s="1"/>
  <c r="L138" i="2"/>
  <c r="N138" i="2" s="1"/>
  <c r="I181" i="2"/>
  <c r="G173" i="2"/>
  <c r="G169" i="2"/>
  <c r="G167" i="2"/>
  <c r="F175" i="2"/>
  <c r="F173" i="2"/>
  <c r="L173" i="2" s="1"/>
  <c r="G170" i="2"/>
  <c r="F169" i="2"/>
  <c r="F167" i="2"/>
  <c r="L170" i="2" s="1"/>
  <c r="G163" i="2"/>
  <c r="G171" i="2"/>
  <c r="G165" i="2"/>
  <c r="G164" i="2"/>
  <c r="B165" i="2" s="1"/>
  <c r="G168" i="2"/>
  <c r="G166" i="2"/>
  <c r="F164" i="2"/>
  <c r="L172" i="2" s="1"/>
  <c r="F171" i="2"/>
  <c r="F174" i="2"/>
  <c r="G172" i="2"/>
  <c r="F165" i="2"/>
  <c r="F16" i="2"/>
  <c r="F17" i="2" s="1"/>
  <c r="F216" i="2"/>
  <c r="F170" i="2"/>
  <c r="J52" i="2"/>
  <c r="K38" i="2"/>
  <c r="E222" i="2"/>
  <c r="F219" i="2" s="1"/>
  <c r="G130" i="2"/>
  <c r="G126" i="2"/>
  <c r="G124" i="2"/>
  <c r="G131" i="2"/>
  <c r="F130" i="2"/>
  <c r="G127" i="2"/>
  <c r="F126" i="2"/>
  <c r="G125" i="2"/>
  <c r="F124" i="2"/>
  <c r="F133" i="2"/>
  <c r="G128" i="2"/>
  <c r="G121" i="2"/>
  <c r="G123" i="2"/>
  <c r="F121" i="2"/>
  <c r="G129" i="2"/>
  <c r="F128" i="2"/>
  <c r="G122" i="2"/>
  <c r="C16" i="2"/>
  <c r="C17" i="2" s="1"/>
  <c r="K140" i="2"/>
  <c r="J154" i="2"/>
  <c r="G87" i="2"/>
  <c r="G83" i="2"/>
  <c r="G81" i="2"/>
  <c r="F89" i="2"/>
  <c r="G84" i="2"/>
  <c r="G77" i="2"/>
  <c r="G85" i="2"/>
  <c r="G79" i="2"/>
  <c r="G78" i="2"/>
  <c r="B79" i="2" s="1"/>
  <c r="G82" i="2"/>
  <c r="G80" i="2"/>
  <c r="F78" i="2"/>
  <c r="F10" i="2"/>
  <c r="F11" i="2" s="1"/>
  <c r="F88" i="2"/>
  <c r="G86" i="2"/>
  <c r="F85" i="2"/>
  <c r="F79" i="2"/>
  <c r="F196" i="2"/>
  <c r="F86" i="2"/>
  <c r="F75" i="2"/>
  <c r="G70" i="2"/>
  <c r="G63" i="2"/>
  <c r="G71" i="2"/>
  <c r="G65" i="2"/>
  <c r="G64" i="2"/>
  <c r="G72" i="2"/>
  <c r="G68" i="2"/>
  <c r="G69" i="2"/>
  <c r="F68" i="2"/>
  <c r="H67" i="2" s="1"/>
  <c r="G67" i="2"/>
  <c r="G66" i="2"/>
  <c r="F66" i="2"/>
  <c r="F64" i="2"/>
  <c r="L70" i="2" s="1"/>
  <c r="E10" i="2"/>
  <c r="E11" i="2" s="1"/>
  <c r="G73" i="2"/>
  <c r="F72" i="2"/>
  <c r="F65" i="2"/>
  <c r="O139" i="2" l="1"/>
  <c r="Q139" i="2" s="1"/>
  <c r="J66" i="2"/>
  <c r="K52" i="2"/>
  <c r="H167" i="2"/>
  <c r="O138" i="2"/>
  <c r="Q138" i="2" s="1"/>
  <c r="R138" i="2"/>
  <c r="P138" i="2"/>
  <c r="O143" i="2"/>
  <c r="Q143" i="2" s="1"/>
  <c r="R154" i="2"/>
  <c r="O154" i="2"/>
  <c r="Q154" i="2" s="1"/>
  <c r="U59" i="2"/>
  <c r="W59" i="2" s="1"/>
  <c r="L56" i="2"/>
  <c r="L58" i="2"/>
  <c r="N58" i="2" s="1"/>
  <c r="L57" i="2"/>
  <c r="L59" i="2"/>
  <c r="N59" i="2" s="1"/>
  <c r="L55" i="2"/>
  <c r="N55" i="2" s="1"/>
  <c r="L53" i="2"/>
  <c r="L54" i="2"/>
  <c r="L52" i="2"/>
  <c r="N52" i="2" s="1"/>
  <c r="L72" i="2"/>
  <c r="U73" i="2"/>
  <c r="W73" i="2" s="1"/>
  <c r="J72" i="2"/>
  <c r="K58" i="2"/>
  <c r="B123" i="2"/>
  <c r="F210" i="2"/>
  <c r="L140" i="2"/>
  <c r="N140" i="2" s="1"/>
  <c r="J159" i="2"/>
  <c r="K145" i="2"/>
  <c r="K141" i="2"/>
  <c r="J155" i="2"/>
  <c r="L67" i="2"/>
  <c r="L69" i="2"/>
  <c r="H125" i="2"/>
  <c r="F215" i="2"/>
  <c r="L145" i="2"/>
  <c r="N145" i="2" s="1"/>
  <c r="L144" i="2"/>
  <c r="N144" i="2" s="1"/>
  <c r="U145" i="2"/>
  <c r="W145" i="2" s="1"/>
  <c r="O152" i="2"/>
  <c r="Q152" i="2" s="1"/>
  <c r="K143" i="2"/>
  <c r="P143" i="2" s="1"/>
  <c r="J157" i="2"/>
  <c r="J172" i="2"/>
  <c r="N172" i="2" s="1"/>
  <c r="K158" i="2"/>
  <c r="J166" i="2"/>
  <c r="K152" i="2"/>
  <c r="P152" i="2" s="1"/>
  <c r="G202" i="2"/>
  <c r="G198" i="2"/>
  <c r="G203" i="2"/>
  <c r="G199" i="2"/>
  <c r="F206" i="2"/>
  <c r="G204" i="2"/>
  <c r="G200" i="2"/>
  <c r="G196" i="2"/>
  <c r="G201" i="2"/>
  <c r="G195" i="2"/>
  <c r="G194" i="2"/>
  <c r="G197" i="2"/>
  <c r="F203" i="2"/>
  <c r="F201" i="2"/>
  <c r="F198" i="2"/>
  <c r="F204" i="2"/>
  <c r="F197" i="2"/>
  <c r="F199" i="2"/>
  <c r="F200" i="2"/>
  <c r="K42" i="2"/>
  <c r="J56" i="2"/>
  <c r="J153" i="2"/>
  <c r="K139" i="2"/>
  <c r="P139" i="2" s="1"/>
  <c r="L66" i="2"/>
  <c r="L71" i="2"/>
  <c r="L73" i="2"/>
  <c r="N73" i="2" s="1"/>
  <c r="K59" i="2"/>
  <c r="J73" i="2"/>
  <c r="U173" i="2"/>
  <c r="W173" i="2" s="1"/>
  <c r="L168" i="2"/>
  <c r="J168" i="2"/>
  <c r="K154" i="2"/>
  <c r="P154" i="2" s="1"/>
  <c r="F222" i="2"/>
  <c r="G220" i="2"/>
  <c r="G216" i="2"/>
  <c r="G212" i="2"/>
  <c r="G211" i="2"/>
  <c r="G217" i="2"/>
  <c r="G213" i="2"/>
  <c r="G218" i="2"/>
  <c r="G214" i="2"/>
  <c r="G215" i="2"/>
  <c r="G210" i="2"/>
  <c r="B212" i="2" s="1"/>
  <c r="G219" i="2"/>
  <c r="F221" i="2"/>
  <c r="F212" i="2"/>
  <c r="F218" i="2"/>
  <c r="F213" i="2"/>
  <c r="F211" i="2"/>
  <c r="L142" i="2"/>
  <c r="N142" i="2" s="1"/>
  <c r="I167" i="2"/>
  <c r="I139" i="2"/>
  <c r="I111" i="2"/>
  <c r="I153" i="2"/>
  <c r="I95" i="2"/>
  <c r="I67" i="2"/>
  <c r="I81" i="2"/>
  <c r="I125" i="2"/>
  <c r="I39" i="2"/>
  <c r="J156" i="2"/>
  <c r="K142" i="2"/>
  <c r="U45" i="2"/>
  <c r="W45" i="2" s="1"/>
  <c r="L42" i="2"/>
  <c r="N42" i="2" s="1"/>
  <c r="L43" i="2"/>
  <c r="N43" i="2" s="1"/>
  <c r="L39" i="2"/>
  <c r="N39" i="2" s="1"/>
  <c r="L44" i="2"/>
  <c r="N44" i="2" s="1"/>
  <c r="L40" i="2"/>
  <c r="N40" i="2" s="1"/>
  <c r="L38" i="2"/>
  <c r="N38" i="2" s="1"/>
  <c r="L45" i="2"/>
  <c r="N45" i="2" s="1"/>
  <c r="L41" i="2"/>
  <c r="N41" i="2" s="1"/>
  <c r="F217" i="2"/>
  <c r="N166" i="2"/>
  <c r="B65" i="2"/>
  <c r="L129" i="2"/>
  <c r="N129" i="2" s="1"/>
  <c r="L125" i="2"/>
  <c r="N125" i="2" s="1"/>
  <c r="L130" i="2"/>
  <c r="N130" i="2" s="1"/>
  <c r="L126" i="2"/>
  <c r="N126" i="2" s="1"/>
  <c r="L124" i="2"/>
  <c r="N124" i="2" s="1"/>
  <c r="L131" i="2"/>
  <c r="N131" i="2" s="1"/>
  <c r="L127" i="2"/>
  <c r="N127" i="2" s="1"/>
  <c r="U131" i="2"/>
  <c r="W131" i="2" s="1"/>
  <c r="L128" i="2"/>
  <c r="N128" i="2" s="1"/>
  <c r="N158" i="2"/>
  <c r="L141" i="2"/>
  <c r="N141" i="2" s="1"/>
  <c r="L86" i="2"/>
  <c r="L82" i="2"/>
  <c r="L80" i="2"/>
  <c r="L87" i="2"/>
  <c r="L83" i="2"/>
  <c r="U87" i="2"/>
  <c r="W87" i="2" s="1"/>
  <c r="L84" i="2"/>
  <c r="L85" i="2"/>
  <c r="L81" i="2"/>
  <c r="J53" i="2"/>
  <c r="K39" i="2"/>
  <c r="H39" i="2"/>
  <c r="H53" i="2"/>
  <c r="I53" i="2" s="1"/>
  <c r="F220" i="2"/>
  <c r="J54" i="2"/>
  <c r="K40" i="2"/>
  <c r="K43" i="2"/>
  <c r="J57" i="2"/>
  <c r="K55" i="2"/>
  <c r="J69" i="2"/>
  <c r="L68" i="2"/>
  <c r="L171" i="2"/>
  <c r="L169" i="2"/>
  <c r="O172" i="2" l="1"/>
  <c r="Q172" i="2" s="1"/>
  <c r="P41" i="2"/>
  <c r="O41" i="2"/>
  <c r="Q41" i="2" s="1"/>
  <c r="R41" i="2"/>
  <c r="O44" i="2"/>
  <c r="Q44" i="2" s="1"/>
  <c r="R44" i="2"/>
  <c r="P44" i="2"/>
  <c r="K69" i="2"/>
  <c r="J83" i="2"/>
  <c r="P141" i="2"/>
  <c r="O141" i="2"/>
  <c r="Q141" i="2" s="1"/>
  <c r="O127" i="2"/>
  <c r="Q127" i="2" s="1"/>
  <c r="R127" i="2"/>
  <c r="P127" i="2"/>
  <c r="P130" i="2"/>
  <c r="O130" i="2"/>
  <c r="Q130" i="2" s="1"/>
  <c r="O166" i="2"/>
  <c r="Q166" i="2" s="1"/>
  <c r="R166" i="2"/>
  <c r="P45" i="2"/>
  <c r="O45" i="2"/>
  <c r="Q45" i="2" s="1"/>
  <c r="P39" i="2"/>
  <c r="O39" i="2"/>
  <c r="Q39" i="2" s="1"/>
  <c r="P142" i="2"/>
  <c r="O142" i="2"/>
  <c r="Q142" i="2" s="1"/>
  <c r="R142" i="2"/>
  <c r="N168" i="2"/>
  <c r="O73" i="2"/>
  <c r="Q73" i="2" s="1"/>
  <c r="R73" i="2"/>
  <c r="K153" i="2"/>
  <c r="J167" i="2"/>
  <c r="N153" i="2"/>
  <c r="B196" i="2"/>
  <c r="K166" i="2"/>
  <c r="P166" i="2" s="1"/>
  <c r="J180" i="2"/>
  <c r="K159" i="2"/>
  <c r="J173" i="2"/>
  <c r="N159" i="2"/>
  <c r="N72" i="2"/>
  <c r="N54" i="2"/>
  <c r="N57" i="2"/>
  <c r="R139" i="2"/>
  <c r="N83" i="2"/>
  <c r="R126" i="2"/>
  <c r="P126" i="2"/>
  <c r="O126" i="2"/>
  <c r="Q126" i="2" s="1"/>
  <c r="K168" i="2"/>
  <c r="J182" i="2"/>
  <c r="K157" i="2"/>
  <c r="J171" i="2"/>
  <c r="N157" i="2"/>
  <c r="K155" i="2"/>
  <c r="J169" i="2"/>
  <c r="N155" i="2"/>
  <c r="J68" i="2"/>
  <c r="N68" i="2" s="1"/>
  <c r="K54" i="2"/>
  <c r="R158" i="2"/>
  <c r="P158" i="2"/>
  <c r="O158" i="2"/>
  <c r="Q158" i="2" s="1"/>
  <c r="O131" i="2"/>
  <c r="Q131" i="2" s="1"/>
  <c r="R131" i="2"/>
  <c r="P131" i="2"/>
  <c r="P125" i="2"/>
  <c r="O125" i="2"/>
  <c r="Q125" i="2" s="1"/>
  <c r="R125" i="2"/>
  <c r="O38" i="2"/>
  <c r="Q38" i="2" s="1"/>
  <c r="P38" i="2"/>
  <c r="R43" i="2"/>
  <c r="P43" i="2"/>
  <c r="O43" i="2"/>
  <c r="Q43" i="2" s="1"/>
  <c r="J170" i="2"/>
  <c r="K156" i="2"/>
  <c r="N156" i="2"/>
  <c r="R152" i="2"/>
  <c r="O144" i="2"/>
  <c r="Q144" i="2" s="1"/>
  <c r="R144" i="2"/>
  <c r="P144" i="2"/>
  <c r="N69" i="2"/>
  <c r="O140" i="2"/>
  <c r="Q140" i="2" s="1"/>
  <c r="R140" i="2"/>
  <c r="P140" i="2"/>
  <c r="N53" i="2"/>
  <c r="O58" i="2"/>
  <c r="Q58" i="2" s="1"/>
  <c r="R58" i="2"/>
  <c r="P58" i="2"/>
  <c r="R143" i="2"/>
  <c r="N86" i="2"/>
  <c r="P52" i="2"/>
  <c r="O52" i="2"/>
  <c r="Q52" i="2" s="1"/>
  <c r="R52" i="2"/>
  <c r="P59" i="2"/>
  <c r="O59" i="2"/>
  <c r="Q59" i="2" s="1"/>
  <c r="R59" i="2"/>
  <c r="K66" i="2"/>
  <c r="J80" i="2"/>
  <c r="N80" i="2" s="1"/>
  <c r="N171" i="2"/>
  <c r="J71" i="2"/>
  <c r="K57" i="2"/>
  <c r="J67" i="2"/>
  <c r="K53" i="2"/>
  <c r="P128" i="2"/>
  <c r="O128" i="2"/>
  <c r="Q128" i="2" s="1"/>
  <c r="R128" i="2"/>
  <c r="R124" i="2"/>
  <c r="P124" i="2"/>
  <c r="O124" i="2"/>
  <c r="Q124" i="2" s="1"/>
  <c r="P129" i="2"/>
  <c r="O129" i="2"/>
  <c r="Q129" i="2" s="1"/>
  <c r="R129" i="2"/>
  <c r="O40" i="2"/>
  <c r="Q40" i="2" s="1"/>
  <c r="R40" i="2"/>
  <c r="P40" i="2"/>
  <c r="P42" i="2"/>
  <c r="O42" i="2"/>
  <c r="Q42" i="2" s="1"/>
  <c r="R42" i="2"/>
  <c r="K73" i="2"/>
  <c r="P73" i="2" s="1"/>
  <c r="J87" i="2"/>
  <c r="N87" i="2" s="1"/>
  <c r="N66" i="2"/>
  <c r="J70" i="2"/>
  <c r="K56" i="2"/>
  <c r="K172" i="2"/>
  <c r="P172" i="2" s="1"/>
  <c r="J186" i="2"/>
  <c r="P145" i="2"/>
  <c r="O145" i="2"/>
  <c r="Q145" i="2" s="1"/>
  <c r="R145" i="2"/>
  <c r="N67" i="2"/>
  <c r="K72" i="2"/>
  <c r="J86" i="2"/>
  <c r="P55" i="2"/>
  <c r="O55" i="2"/>
  <c r="Q55" i="2" s="1"/>
  <c r="N56" i="2"/>
  <c r="O80" i="2" l="1"/>
  <c r="Q80" i="2" s="1"/>
  <c r="P87" i="2"/>
  <c r="O87" i="2"/>
  <c r="Q87" i="2" s="1"/>
  <c r="O68" i="2"/>
  <c r="Q68" i="2" s="1"/>
  <c r="R68" i="2"/>
  <c r="J183" i="2"/>
  <c r="K169" i="2"/>
  <c r="R55" i="2"/>
  <c r="J84" i="2"/>
  <c r="K70" i="2"/>
  <c r="N70" i="2"/>
  <c r="O53" i="2"/>
  <c r="Q53" i="2" s="1"/>
  <c r="R53" i="2"/>
  <c r="P53" i="2"/>
  <c r="P69" i="2"/>
  <c r="O69" i="2"/>
  <c r="Q69" i="2" s="1"/>
  <c r="R69" i="2"/>
  <c r="J184" i="2"/>
  <c r="K170" i="2"/>
  <c r="N170" i="2"/>
  <c r="P157" i="2"/>
  <c r="R157" i="2"/>
  <c r="O157" i="2"/>
  <c r="Q157" i="2" s="1"/>
  <c r="O83" i="2"/>
  <c r="Q83" i="2" s="1"/>
  <c r="O54" i="2"/>
  <c r="Q54" i="2" s="1"/>
  <c r="P54" i="2"/>
  <c r="R54" i="2"/>
  <c r="P153" i="2"/>
  <c r="O153" i="2"/>
  <c r="Q153" i="2" s="1"/>
  <c r="R39" i="2"/>
  <c r="J101" i="2"/>
  <c r="K87" i="2"/>
  <c r="O86" i="2"/>
  <c r="Q86" i="2" s="1"/>
  <c r="R86" i="2"/>
  <c r="P156" i="2"/>
  <c r="O156" i="2"/>
  <c r="Q156" i="2" s="1"/>
  <c r="P159" i="2"/>
  <c r="O159" i="2"/>
  <c r="Q159" i="2" s="1"/>
  <c r="R159" i="2"/>
  <c r="O56" i="2"/>
  <c r="Q56" i="2" s="1"/>
  <c r="R56" i="2"/>
  <c r="P56" i="2"/>
  <c r="J100" i="2"/>
  <c r="K86" i="2"/>
  <c r="P86" i="2" s="1"/>
  <c r="J85" i="2"/>
  <c r="K71" i="2"/>
  <c r="K68" i="2"/>
  <c r="P68" i="2" s="1"/>
  <c r="J82" i="2"/>
  <c r="K182" i="2"/>
  <c r="N182" i="2"/>
  <c r="O57" i="2"/>
  <c r="Q57" i="2" s="1"/>
  <c r="P57" i="2"/>
  <c r="J187" i="2"/>
  <c r="K173" i="2"/>
  <c r="N173" i="2"/>
  <c r="O67" i="2"/>
  <c r="Q67" i="2" s="1"/>
  <c r="K186" i="2"/>
  <c r="N186" i="2"/>
  <c r="P66" i="2"/>
  <c r="O66" i="2"/>
  <c r="Q66" i="2" s="1"/>
  <c r="R66" i="2"/>
  <c r="J81" i="2"/>
  <c r="K67" i="2"/>
  <c r="P67" i="2" s="1"/>
  <c r="O171" i="2"/>
  <c r="Q171" i="2" s="1"/>
  <c r="R171" i="2"/>
  <c r="N71" i="2"/>
  <c r="R38" i="2"/>
  <c r="P155" i="2"/>
  <c r="R155" i="2"/>
  <c r="O155" i="2"/>
  <c r="Q155" i="2" s="1"/>
  <c r="K171" i="2"/>
  <c r="P171" i="2" s="1"/>
  <c r="J185" i="2"/>
  <c r="N169" i="2"/>
  <c r="P72" i="2"/>
  <c r="O72" i="2"/>
  <c r="Q72" i="2" s="1"/>
  <c r="R72" i="2"/>
  <c r="K180" i="2"/>
  <c r="N180" i="2"/>
  <c r="K167" i="2"/>
  <c r="J181" i="2"/>
  <c r="N167" i="2"/>
  <c r="R45" i="2"/>
  <c r="R130" i="2"/>
  <c r="R141" i="2"/>
  <c r="K83" i="2"/>
  <c r="P83" i="2" s="1"/>
  <c r="J97" i="2"/>
  <c r="R172" i="2"/>
  <c r="K80" i="2"/>
  <c r="P80" i="2" s="1"/>
  <c r="J94" i="2"/>
  <c r="P168" i="2"/>
  <c r="O168" i="2"/>
  <c r="Q168" i="2" s="1"/>
  <c r="R168" i="2"/>
  <c r="P167" i="2" l="1"/>
  <c r="O167" i="2"/>
  <c r="Q167" i="2" s="1"/>
  <c r="P186" i="2"/>
  <c r="O186" i="2"/>
  <c r="Q186" i="2" s="1"/>
  <c r="K184" i="2"/>
  <c r="N184" i="2"/>
  <c r="K181" i="2"/>
  <c r="N181" i="2"/>
  <c r="K185" i="2"/>
  <c r="N185" i="2"/>
  <c r="J96" i="2"/>
  <c r="K82" i="2"/>
  <c r="N82" i="2"/>
  <c r="R57" i="2"/>
  <c r="K100" i="2"/>
  <c r="N100" i="2"/>
  <c r="R83" i="2"/>
  <c r="O170" i="2"/>
  <c r="Q170" i="2" s="1"/>
  <c r="R170" i="2"/>
  <c r="P170" i="2"/>
  <c r="R87" i="2"/>
  <c r="K94" i="2"/>
  <c r="N94" i="2"/>
  <c r="R169" i="2"/>
  <c r="P169" i="2"/>
  <c r="O169" i="2"/>
  <c r="Q169" i="2" s="1"/>
  <c r="K81" i="2"/>
  <c r="J95" i="2"/>
  <c r="N81" i="2"/>
  <c r="J99" i="2"/>
  <c r="K85" i="2"/>
  <c r="N85" i="2"/>
  <c r="K101" i="2"/>
  <c r="N101" i="2"/>
  <c r="K183" i="2"/>
  <c r="N183" i="2"/>
  <c r="P173" i="2"/>
  <c r="O173" i="2"/>
  <c r="Q173" i="2" s="1"/>
  <c r="J98" i="2"/>
  <c r="K84" i="2"/>
  <c r="N84" i="2"/>
  <c r="K97" i="2"/>
  <c r="N97" i="2"/>
  <c r="P180" i="2"/>
  <c r="O180" i="2"/>
  <c r="Q180" i="2" s="1"/>
  <c r="O71" i="2"/>
  <c r="Q71" i="2" s="1"/>
  <c r="P71" i="2"/>
  <c r="R67" i="2"/>
  <c r="K187" i="2"/>
  <c r="N187" i="2"/>
  <c r="P182" i="2"/>
  <c r="O182" i="2"/>
  <c r="Q182" i="2" s="1"/>
  <c r="R156" i="2"/>
  <c r="R153" i="2"/>
  <c r="R70" i="2"/>
  <c r="P70" i="2"/>
  <c r="O70" i="2"/>
  <c r="Q70" i="2" s="1"/>
  <c r="R80" i="2"/>
  <c r="P97" i="2" l="1"/>
  <c r="O97" i="2"/>
  <c r="Q97" i="2" s="1"/>
  <c r="K98" i="2"/>
  <c r="N98" i="2"/>
  <c r="O183" i="2"/>
  <c r="Q183" i="2" s="1"/>
  <c r="R183" i="2"/>
  <c r="P183" i="2"/>
  <c r="P85" i="2"/>
  <c r="O85" i="2"/>
  <c r="Q85" i="2" s="1"/>
  <c r="R85" i="2"/>
  <c r="K95" i="2"/>
  <c r="N95" i="2"/>
  <c r="O100" i="2"/>
  <c r="Q100" i="2" s="1"/>
  <c r="P100" i="2"/>
  <c r="R100" i="2"/>
  <c r="P181" i="2"/>
  <c r="O181" i="2"/>
  <c r="Q181" i="2" s="1"/>
  <c r="R181" i="2"/>
  <c r="R94" i="2"/>
  <c r="P94" i="2"/>
  <c r="O94" i="2"/>
  <c r="Q94" i="2" s="1"/>
  <c r="K96" i="2"/>
  <c r="N96" i="2"/>
  <c r="R182" i="2"/>
  <c r="O84" i="2"/>
  <c r="Q84" i="2" s="1"/>
  <c r="R84" i="2"/>
  <c r="P84" i="2"/>
  <c r="O101" i="2"/>
  <c r="Q101" i="2" s="1"/>
  <c r="R101" i="2"/>
  <c r="P101" i="2"/>
  <c r="K99" i="2"/>
  <c r="N99" i="2"/>
  <c r="P185" i="2"/>
  <c r="O185" i="2"/>
  <c r="Q185" i="2" s="1"/>
  <c r="R185" i="2"/>
  <c r="P184" i="2"/>
  <c r="O184" i="2"/>
  <c r="Q184" i="2" s="1"/>
  <c r="R184" i="2"/>
  <c r="R186" i="2"/>
  <c r="O187" i="2"/>
  <c r="Q187" i="2" s="1"/>
  <c r="R187" i="2"/>
  <c r="P187" i="2"/>
  <c r="R71" i="2"/>
  <c r="R180" i="2"/>
  <c r="R173" i="2"/>
  <c r="P81" i="2"/>
  <c r="O81" i="2"/>
  <c r="Q81" i="2" s="1"/>
  <c r="P82" i="2"/>
  <c r="O82" i="2"/>
  <c r="Q82" i="2" s="1"/>
  <c r="R82" i="2"/>
  <c r="R167" i="2"/>
  <c r="P96" i="2" l="1"/>
  <c r="O96" i="2"/>
  <c r="Q96" i="2" s="1"/>
  <c r="R81" i="2"/>
  <c r="O99" i="2"/>
  <c r="Q99" i="2" s="1"/>
  <c r="R99" i="2"/>
  <c r="P99" i="2"/>
  <c r="P95" i="2"/>
  <c r="O95" i="2"/>
  <c r="Q95" i="2" s="1"/>
  <c r="O98" i="2"/>
  <c r="Q98" i="2" s="1"/>
  <c r="P98" i="2"/>
  <c r="R98" i="2"/>
  <c r="R97" i="2"/>
  <c r="R95" i="2" l="1"/>
  <c r="R9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pocholo.aviso</author>
  </authors>
  <commentList>
    <comment ref="M39" authorId="0" shapeId="0" xr:uid="{DE72EDD7-39C9-4291-90A7-05FE03961320}">
      <text>
        <r>
          <rPr>
            <b/>
            <sz val="9"/>
            <color indexed="81"/>
            <rFont val="Tahoma"/>
            <family val="2"/>
          </rPr>
          <t>pocholo.aviso:</t>
        </r>
        <r>
          <rPr>
            <sz val="9"/>
            <color indexed="81"/>
            <rFont val="Tahoma"/>
            <family val="2"/>
          </rPr>
          <t xml:space="preserve">
assumption based on OMC survey 1</t>
        </r>
      </text>
    </comment>
    <comment ref="M53" authorId="0" shapeId="0" xr:uid="{F8CF1291-A0FD-4DE5-A781-7155C8FCFE2A}">
      <text>
        <r>
          <rPr>
            <b/>
            <sz val="9"/>
            <color indexed="81"/>
            <rFont val="Tahoma"/>
            <family val="2"/>
          </rPr>
          <t>pocholo.aviso:</t>
        </r>
        <r>
          <rPr>
            <sz val="9"/>
            <color indexed="81"/>
            <rFont val="Tahoma"/>
            <family val="2"/>
          </rPr>
          <t xml:space="preserve">
assumption based on OMC survey 1</t>
        </r>
      </text>
    </comment>
    <comment ref="M67" authorId="0" shapeId="0" xr:uid="{108103A1-F4E5-491F-8D65-91B8EF9652B7}">
      <text>
        <r>
          <rPr>
            <b/>
            <sz val="9"/>
            <color indexed="81"/>
            <rFont val="Tahoma"/>
            <family val="2"/>
          </rPr>
          <t>pocholo.aviso:</t>
        </r>
        <r>
          <rPr>
            <sz val="9"/>
            <color indexed="81"/>
            <rFont val="Tahoma"/>
            <family val="2"/>
          </rPr>
          <t xml:space="preserve">
assumption based on OMC survey 1</t>
        </r>
      </text>
    </comment>
    <comment ref="M81" authorId="0" shapeId="0" xr:uid="{ED52BB27-142E-4FDD-A704-0B25CC56E9BD}">
      <text>
        <r>
          <rPr>
            <b/>
            <sz val="9"/>
            <color indexed="81"/>
            <rFont val="Tahoma"/>
            <family val="2"/>
          </rPr>
          <t>pocholo.aviso:</t>
        </r>
        <r>
          <rPr>
            <sz val="9"/>
            <color indexed="81"/>
            <rFont val="Tahoma"/>
            <family val="2"/>
          </rPr>
          <t xml:space="preserve">
assumption based on OMC survey 1</t>
        </r>
      </text>
    </comment>
    <comment ref="M95" authorId="0" shapeId="0" xr:uid="{3D78D035-0974-4771-9C46-E221C037451B}">
      <text>
        <r>
          <rPr>
            <b/>
            <sz val="9"/>
            <color indexed="81"/>
            <rFont val="Tahoma"/>
            <family val="2"/>
          </rPr>
          <t>pocholo.aviso:</t>
        </r>
        <r>
          <rPr>
            <sz val="9"/>
            <color indexed="81"/>
            <rFont val="Tahoma"/>
            <family val="2"/>
          </rPr>
          <t xml:space="preserve">
assumption based on OMC survey 1</t>
        </r>
      </text>
    </comment>
    <comment ref="M125" authorId="0" shapeId="0" xr:uid="{8580F1F3-9150-46DD-A37A-57C6EB2ECF8C}">
      <text>
        <r>
          <rPr>
            <b/>
            <sz val="9"/>
            <color indexed="81"/>
            <rFont val="Tahoma"/>
            <family val="2"/>
          </rPr>
          <t>pocholo.aviso:</t>
        </r>
        <r>
          <rPr>
            <sz val="9"/>
            <color indexed="81"/>
            <rFont val="Tahoma"/>
            <family val="2"/>
          </rPr>
          <t xml:space="preserve">
assumption based on OMC survey 1</t>
        </r>
      </text>
    </comment>
    <comment ref="M139" authorId="0" shapeId="0" xr:uid="{21FEEBA1-DF58-4D61-8A60-FF2BEFF2DC5E}">
      <text>
        <r>
          <rPr>
            <b/>
            <sz val="9"/>
            <color indexed="81"/>
            <rFont val="Tahoma"/>
            <family val="2"/>
          </rPr>
          <t>pocholo.aviso:</t>
        </r>
        <r>
          <rPr>
            <sz val="9"/>
            <color indexed="81"/>
            <rFont val="Tahoma"/>
            <family val="2"/>
          </rPr>
          <t xml:space="preserve">
assumption based on OMC survey 1</t>
        </r>
      </text>
    </comment>
    <comment ref="M153" authorId="0" shapeId="0" xr:uid="{72D4E344-5003-4126-80D3-F0FE5DD695FA}">
      <text>
        <r>
          <rPr>
            <b/>
            <sz val="9"/>
            <color indexed="81"/>
            <rFont val="Tahoma"/>
            <family val="2"/>
          </rPr>
          <t>pocholo.aviso:</t>
        </r>
        <r>
          <rPr>
            <sz val="9"/>
            <color indexed="81"/>
            <rFont val="Tahoma"/>
            <family val="2"/>
          </rPr>
          <t xml:space="preserve">
assumption based on OMC survey 1</t>
        </r>
      </text>
    </comment>
    <comment ref="M167" authorId="0" shapeId="0" xr:uid="{7D029B37-CFAC-4E60-80F3-1E8A1292041C}">
      <text>
        <r>
          <rPr>
            <b/>
            <sz val="9"/>
            <color indexed="81"/>
            <rFont val="Tahoma"/>
            <family val="2"/>
          </rPr>
          <t>pocholo.aviso:</t>
        </r>
        <r>
          <rPr>
            <sz val="9"/>
            <color indexed="81"/>
            <rFont val="Tahoma"/>
            <family val="2"/>
          </rPr>
          <t xml:space="preserve">
assumption based on OMC survey 1</t>
        </r>
      </text>
    </comment>
    <comment ref="M181" authorId="0" shapeId="0" xr:uid="{A69F4437-F33A-4E93-8A22-FD85C30F069D}">
      <text>
        <r>
          <rPr>
            <b/>
            <sz val="9"/>
            <color indexed="81"/>
            <rFont val="Tahoma"/>
            <family val="2"/>
          </rPr>
          <t>pocholo.aviso:</t>
        </r>
        <r>
          <rPr>
            <sz val="9"/>
            <color indexed="81"/>
            <rFont val="Tahoma"/>
            <family val="2"/>
          </rPr>
          <t xml:space="preserve">
assumption based on OMC survey 1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pocholo.aviso</author>
  </authors>
  <commentList>
    <comment ref="M39" authorId="0" shapeId="0" xr:uid="{D1FA84FB-716E-43B4-8868-80002FD65DDD}">
      <text>
        <r>
          <rPr>
            <b/>
            <sz val="9"/>
            <color indexed="81"/>
            <rFont val="Tahoma"/>
            <family val="2"/>
          </rPr>
          <t>pocholo.aviso:</t>
        </r>
        <r>
          <rPr>
            <sz val="9"/>
            <color indexed="81"/>
            <rFont val="Tahoma"/>
            <family val="2"/>
          </rPr>
          <t xml:space="preserve">
estimate based on OMC survey 1</t>
        </r>
      </text>
    </comment>
    <comment ref="M53" authorId="0" shapeId="0" xr:uid="{C6A481FB-692D-4AFD-85CA-016741DBFA58}">
      <text>
        <r>
          <rPr>
            <b/>
            <sz val="9"/>
            <color indexed="81"/>
            <rFont val="Tahoma"/>
            <family val="2"/>
          </rPr>
          <t>pocholo.aviso:</t>
        </r>
        <r>
          <rPr>
            <sz val="9"/>
            <color indexed="81"/>
            <rFont val="Tahoma"/>
            <family val="2"/>
          </rPr>
          <t xml:space="preserve">
estimate based on OMC survey 1</t>
        </r>
      </text>
    </comment>
    <comment ref="M67" authorId="0" shapeId="0" xr:uid="{B73716DE-ABAF-4AEA-9019-DE632DA339BE}">
      <text>
        <r>
          <rPr>
            <b/>
            <sz val="9"/>
            <color indexed="81"/>
            <rFont val="Tahoma"/>
            <family val="2"/>
          </rPr>
          <t>pocholo.aviso:</t>
        </r>
        <r>
          <rPr>
            <sz val="9"/>
            <color indexed="81"/>
            <rFont val="Tahoma"/>
            <family val="2"/>
          </rPr>
          <t xml:space="preserve">
estimate based on OMC survey 1</t>
        </r>
      </text>
    </comment>
    <comment ref="M81" authorId="0" shapeId="0" xr:uid="{DD223D06-2AA7-490F-814C-EC1B125030EE}">
      <text>
        <r>
          <rPr>
            <b/>
            <sz val="9"/>
            <color indexed="81"/>
            <rFont val="Tahoma"/>
            <family val="2"/>
          </rPr>
          <t>pocholo.aviso:</t>
        </r>
        <r>
          <rPr>
            <sz val="9"/>
            <color indexed="81"/>
            <rFont val="Tahoma"/>
            <family val="2"/>
          </rPr>
          <t xml:space="preserve">
estimate based on OMC survey 1</t>
        </r>
      </text>
    </comment>
    <comment ref="M95" authorId="0" shapeId="0" xr:uid="{4709655B-11A8-40AA-BC0E-D21A9EBC0B35}">
      <text>
        <r>
          <rPr>
            <b/>
            <sz val="9"/>
            <color indexed="81"/>
            <rFont val="Tahoma"/>
            <family val="2"/>
          </rPr>
          <t>pocholo.aviso:</t>
        </r>
        <r>
          <rPr>
            <sz val="9"/>
            <color indexed="81"/>
            <rFont val="Tahoma"/>
            <family val="2"/>
          </rPr>
          <t xml:space="preserve">
estimate based on OMC survey 1</t>
        </r>
      </text>
    </comment>
    <comment ref="M125" authorId="0" shapeId="0" xr:uid="{095019BE-E9C8-48BA-9A90-27497FE9121F}">
      <text>
        <r>
          <rPr>
            <b/>
            <sz val="9"/>
            <color indexed="81"/>
            <rFont val="Tahoma"/>
            <family val="2"/>
          </rPr>
          <t>pocholo.aviso:</t>
        </r>
        <r>
          <rPr>
            <sz val="9"/>
            <color indexed="81"/>
            <rFont val="Tahoma"/>
            <family val="2"/>
          </rPr>
          <t xml:space="preserve">
estimate based on OMC survey 1</t>
        </r>
      </text>
    </comment>
    <comment ref="M139" authorId="0" shapeId="0" xr:uid="{D347D41C-3F49-4E0B-AAE0-6960D3530F44}">
      <text>
        <r>
          <rPr>
            <b/>
            <sz val="9"/>
            <color indexed="81"/>
            <rFont val="Tahoma"/>
            <family val="2"/>
          </rPr>
          <t>pocholo.aviso:</t>
        </r>
        <r>
          <rPr>
            <sz val="9"/>
            <color indexed="81"/>
            <rFont val="Tahoma"/>
            <family val="2"/>
          </rPr>
          <t xml:space="preserve">
estimate based on OMC survey 1</t>
        </r>
      </text>
    </comment>
    <comment ref="M153" authorId="0" shapeId="0" xr:uid="{38256913-B33F-4CF1-B660-D697D6A565BE}">
      <text>
        <r>
          <rPr>
            <b/>
            <sz val="9"/>
            <color indexed="81"/>
            <rFont val="Tahoma"/>
            <family val="2"/>
          </rPr>
          <t>pocholo.aviso:</t>
        </r>
        <r>
          <rPr>
            <sz val="9"/>
            <color indexed="81"/>
            <rFont val="Tahoma"/>
            <family val="2"/>
          </rPr>
          <t xml:space="preserve">
estimate based on OMC survey 1</t>
        </r>
      </text>
    </comment>
    <comment ref="M167" authorId="0" shapeId="0" xr:uid="{D06771FA-CD78-4126-9810-A4A7A476BFC1}">
      <text>
        <r>
          <rPr>
            <b/>
            <sz val="9"/>
            <color indexed="81"/>
            <rFont val="Tahoma"/>
            <family val="2"/>
          </rPr>
          <t>pocholo.aviso:</t>
        </r>
        <r>
          <rPr>
            <sz val="9"/>
            <color indexed="81"/>
            <rFont val="Tahoma"/>
            <family val="2"/>
          </rPr>
          <t xml:space="preserve">
estimate based on OMC survey 1</t>
        </r>
      </text>
    </comment>
    <comment ref="M181" authorId="0" shapeId="0" xr:uid="{830BD566-9CBB-4DF2-BC7D-AEE9C57AA42C}">
      <text>
        <r>
          <rPr>
            <b/>
            <sz val="9"/>
            <color indexed="81"/>
            <rFont val="Tahoma"/>
            <family val="2"/>
          </rPr>
          <t>pocholo.aviso:</t>
        </r>
        <r>
          <rPr>
            <sz val="9"/>
            <color indexed="81"/>
            <rFont val="Tahoma"/>
            <family val="2"/>
          </rPr>
          <t xml:space="preserve">
estimate based on OMC survey 1</t>
        </r>
      </text>
    </comment>
  </commentList>
</comments>
</file>

<file path=xl/sharedStrings.xml><?xml version="1.0" encoding="utf-8"?>
<sst xmlns="http://schemas.openxmlformats.org/spreadsheetml/2006/main" count="1486" uniqueCount="159">
  <si>
    <t>test dates</t>
  </si>
  <si>
    <t>Survey grinding screen 013 &amp; 014</t>
  </si>
  <si>
    <t>Date</t>
  </si>
  <si>
    <t>Time</t>
  </si>
  <si>
    <t>Take sample</t>
  </si>
  <si>
    <t>SC 013 Feed</t>
  </si>
  <si>
    <t>SC 013 O/S D1</t>
  </si>
  <si>
    <t>SC 013 O/S D2</t>
  </si>
  <si>
    <t>SC 013 O/S D3</t>
  </si>
  <si>
    <t>SC 013 O/S D4</t>
  </si>
  <si>
    <t>SC 013 O/S D5</t>
  </si>
  <si>
    <t>Mass bucket</t>
  </si>
  <si>
    <t>Mass bucket+slurry</t>
  </si>
  <si>
    <t xml:space="preserve">Dry sample weight </t>
  </si>
  <si>
    <t>Percent solid</t>
  </si>
  <si>
    <t>SC 014 Feed</t>
  </si>
  <si>
    <t>SC 014 O/S D1</t>
  </si>
  <si>
    <t>SC 014 O/S D2</t>
  </si>
  <si>
    <t>SC 014 O/S D3</t>
  </si>
  <si>
    <t>SC 014 O/S D4</t>
  </si>
  <si>
    <t>SC 014 O/S D5</t>
  </si>
  <si>
    <t>Screen efficiency per size fraction (Derrick)</t>
  </si>
  <si>
    <t>Screen efficiency (Wills)</t>
  </si>
  <si>
    <t>Sample Description</t>
  </si>
  <si>
    <t>Size Fraction</t>
  </si>
  <si>
    <t>Weight (g)</t>
  </si>
  <si>
    <t>Retain %</t>
  </si>
  <si>
    <t>Cum % Passing</t>
  </si>
  <si>
    <t>%  undersize in the feed</t>
  </si>
  <si>
    <t>A</t>
  </si>
  <si>
    <t>B</t>
  </si>
  <si>
    <t>C</t>
  </si>
  <si>
    <t>D</t>
  </si>
  <si>
    <t>U</t>
  </si>
  <si>
    <t>O</t>
  </si>
  <si>
    <t>Eu</t>
  </si>
  <si>
    <t>Eo</t>
  </si>
  <si>
    <t>E</t>
  </si>
  <si>
    <t>f (+38 um in feed)</t>
  </si>
  <si>
    <t>c (+38 um in coarse)</t>
  </si>
  <si>
    <t>u (+38 in fines  at 70 %)</t>
  </si>
  <si>
    <t>E =c(f-u)(1-u)(c-f)/f/(c-u)^2/(1-f)</t>
  </si>
  <si>
    <t>SC 013 Feed_Survey 1</t>
  </si>
  <si>
    <t>+1180</t>
  </si>
  <si>
    <t>P80</t>
  </si>
  <si>
    <t>600-1180</t>
  </si>
  <si>
    <t>425-600</t>
  </si>
  <si>
    <t>300-425</t>
  </si>
  <si>
    <t>212-300</t>
  </si>
  <si>
    <t>180-212</t>
  </si>
  <si>
    <t>150-180</t>
  </si>
  <si>
    <t>106-150</t>
  </si>
  <si>
    <t>75-106</t>
  </si>
  <si>
    <t>53-75</t>
  </si>
  <si>
    <t>38-53</t>
  </si>
  <si>
    <t>Head</t>
  </si>
  <si>
    <t>SC 014 Feed Survey 1</t>
  </si>
  <si>
    <t>SC 013 O/S_survey 1</t>
  </si>
  <si>
    <t>SC 014 O/S_survey 1</t>
  </si>
  <si>
    <t>Screen efficiency per size fraction</t>
  </si>
  <si>
    <t>SC 013 Feed_Survey 2</t>
  </si>
  <si>
    <t>SC 014 Feed_Survey 2</t>
  </si>
  <si>
    <t>SC 013 O/S_survey 2</t>
  </si>
  <si>
    <t>SC 014 O/S_survey 2</t>
  </si>
  <si>
    <t>Survey grinding screen 004</t>
  </si>
  <si>
    <t>feed sample data</t>
  </si>
  <si>
    <t>O/S sample data</t>
  </si>
  <si>
    <t>U/S sample data</t>
  </si>
  <si>
    <t>Smallest screen as O/S</t>
  </si>
  <si>
    <t>SC-04 Feed</t>
  </si>
  <si>
    <t>SC-04 feed to deck1</t>
  </si>
  <si>
    <t>SC-04 feed to deck2</t>
  </si>
  <si>
    <t>SC-04 feed to deck3</t>
  </si>
  <si>
    <t>SC-04 feed to deck4</t>
  </si>
  <si>
    <t>SC-04 feed to deck5</t>
  </si>
  <si>
    <t>Distributor</t>
  </si>
  <si>
    <t>DI-027</t>
  </si>
  <si>
    <t>DI-040</t>
  </si>
  <si>
    <t>GTU/F</t>
  </si>
  <si>
    <t>SC-04 O/S from deck1</t>
  </si>
  <si>
    <t>SC-04 O/S from deck2</t>
  </si>
  <si>
    <t>SC-04 O/S from deck3</t>
  </si>
  <si>
    <t>SC-04 O/S from deck4</t>
  </si>
  <si>
    <t>SC-04 O/S from deck5</t>
  </si>
  <si>
    <t>% of O/S in feed</t>
  </si>
  <si>
    <t>% of U/S in feed</t>
  </si>
  <si>
    <t>% of O/S in the O/S product</t>
  </si>
  <si>
    <t>% of U/S in U/S product</t>
  </si>
  <si>
    <t>U/S weight %</t>
  </si>
  <si>
    <t>O/S weight %</t>
  </si>
  <si>
    <t xml:space="preserve">U/S efficiency </t>
  </si>
  <si>
    <t>O/S efficiency</t>
  </si>
  <si>
    <t>Overall efficiency</t>
  </si>
  <si>
    <t>SC-04 Combined U/S</t>
  </si>
  <si>
    <t>SC-04 O/S D1</t>
  </si>
  <si>
    <t>SC-04 O/S D2</t>
  </si>
  <si>
    <t>SC-04 O/S D3</t>
  </si>
  <si>
    <t>SC-04 O/S D4</t>
  </si>
  <si>
    <t>SC-04 O/S D5</t>
  </si>
  <si>
    <t>Data collected from the PCS:</t>
  </si>
  <si>
    <t>Comments</t>
  </si>
  <si>
    <t>:</t>
  </si>
  <si>
    <t>Time start</t>
  </si>
  <si>
    <t>Time finnish</t>
  </si>
  <si>
    <t>ML-01 feed rate</t>
  </si>
  <si>
    <t>PCS data</t>
  </si>
  <si>
    <t>Solids density</t>
  </si>
  <si>
    <t>t/m3</t>
  </si>
  <si>
    <t>Flowrate Pu-08A</t>
  </si>
  <si>
    <t>m3/hr</t>
  </si>
  <si>
    <t>Flowrate Pu-08B</t>
  </si>
  <si>
    <t>Flowrate Screen Feed</t>
  </si>
  <si>
    <t>Calc Pu-08A + B</t>
  </si>
  <si>
    <t>Density Screen feed</t>
  </si>
  <si>
    <t>solids</t>
  </si>
  <si>
    <t xml:space="preserve">calculation </t>
  </si>
  <si>
    <t>Pulp mass flowrate  screen feed</t>
  </si>
  <si>
    <t>t/hr</t>
  </si>
  <si>
    <t>Solids mass flowrate pulp screen feed</t>
  </si>
  <si>
    <t>Recirculating solids load</t>
  </si>
  <si>
    <t>of new feed</t>
  </si>
  <si>
    <t>Feed rates</t>
  </si>
  <si>
    <t>stacks</t>
  </si>
  <si>
    <t>decks per stack</t>
  </si>
  <si>
    <t>Slurry to stack</t>
  </si>
  <si>
    <t>Solids to stack</t>
  </si>
  <si>
    <t>Slurry to deck</t>
  </si>
  <si>
    <t>Solids to deck</t>
  </si>
  <si>
    <t>Survey grinding screen 014</t>
  </si>
  <si>
    <t>Smallest lab screen as O/S</t>
  </si>
  <si>
    <t>212um</t>
  </si>
  <si>
    <t>SC-014 Feed</t>
  </si>
  <si>
    <t>SC-014 feed to deck1</t>
  </si>
  <si>
    <t>SC-014 feed to deck2</t>
  </si>
  <si>
    <t>SC-014 feed to deck3</t>
  </si>
  <si>
    <t>SC-014 feed to deck4</t>
  </si>
  <si>
    <t>SC-014 feed to deck5</t>
  </si>
  <si>
    <t>DI-028</t>
  </si>
  <si>
    <t>DI-050</t>
  </si>
  <si>
    <t>SC-14 Combined U/S</t>
  </si>
  <si>
    <t>SC-014 O/S from deck1</t>
  </si>
  <si>
    <t>SC-014 O/S from deck2</t>
  </si>
  <si>
    <t>SC-014 O/S from deck3</t>
  </si>
  <si>
    <t>SC-014 O/S from deck4</t>
  </si>
  <si>
    <t>SC-014 O/S from deck5</t>
  </si>
  <si>
    <t>Survey grinding screen 013</t>
  </si>
  <si>
    <t>SC-013 Feed</t>
  </si>
  <si>
    <t>SC-013 feed to deck1</t>
  </si>
  <si>
    <t>SC-013 feed to deck2</t>
  </si>
  <si>
    <t>SC-013 feed to deck3</t>
  </si>
  <si>
    <t>SC-013 feed to deck4</t>
  </si>
  <si>
    <t>SC-013 feed to deck5</t>
  </si>
  <si>
    <t>DI-049</t>
  </si>
  <si>
    <t>SC-13 Combined U/S</t>
  </si>
  <si>
    <t>SC-013 O/S from deck1</t>
  </si>
  <si>
    <t>SC-013 O/S from deck2</t>
  </si>
  <si>
    <t>SC-013 O/S from deck3</t>
  </si>
  <si>
    <t>SC-013 O/S from deck4</t>
  </si>
  <si>
    <t>SC-013 O/S from deck5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</si>
</sst>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C09]dd\-mmm\-yy;@"/>
    <numFmt numFmtId="165" formatCode="0.0%"/>
    <numFmt numFmtId="166" formatCode="0.000"/>
    <numFmt numFmtId="167" formatCode="0.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rgb="FF0000FF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 style="double">
        <color auto="1"/>
      </left>
      <right style="thin">
        <color indexed="64"/>
      </right>
      <top style="double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double">
        <color auto="1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indexed="64"/>
      </bottom>
      <diagonal/>
    </border>
    <border>
      <left style="thin">
        <color auto="1"/>
      </left>
      <right/>
      <top style="medium">
        <color auto="1"/>
      </top>
      <bottom style="thin">
        <color indexed="64"/>
      </bottom>
      <diagonal/>
    </border>
    <border>
      <left/>
      <right style="thin">
        <color auto="1"/>
      </right>
      <top style="medium">
        <color auto="1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auto="1"/>
      </left>
      <right style="thin">
        <color indexed="64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8">
    <xf numFmtId="0" fontId="0" fillId="0" borderId="0" xfId="0"/>
    <xf numFmtId="15" fontId="0" fillId="0" borderId="0" xfId="0" applyNumberFormat="1"/>
    <xf numFmtId="0" fontId="0" fillId="2" borderId="0" xfId="0" applyFill="1"/>
    <xf numFmtId="0" fontId="4" fillId="2" borderId="0" xfId="0" applyFont="1" applyFill="1" applyAlignment="1">
      <alignment horizontal="center" vertical="center"/>
    </xf>
    <xf numFmtId="164" fontId="4" fillId="2" borderId="0" xfId="0" applyNumberFormat="1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20" fontId="4" fillId="2" borderId="0" xfId="0" applyNumberFormat="1" applyFont="1" applyFill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0" fontId="5" fillId="2" borderId="0" xfId="0" applyFont="1" applyFill="1" applyAlignment="1">
      <alignment vertical="center"/>
    </xf>
    <xf numFmtId="0" fontId="4" fillId="0" borderId="2" xfId="0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left" vertical="center"/>
    </xf>
    <xf numFmtId="0" fontId="0" fillId="0" borderId="5" xfId="0" applyBorder="1"/>
    <xf numFmtId="2" fontId="0" fillId="0" borderId="6" xfId="0" applyNumberFormat="1" applyBorder="1"/>
    <xf numFmtId="0" fontId="4" fillId="0" borderId="5" xfId="0" applyFont="1" applyBorder="1" applyAlignment="1">
      <alignment horizontal="left" vertical="center"/>
    </xf>
    <xf numFmtId="10" fontId="0" fillId="0" borderId="5" xfId="1" applyNumberFormat="1" applyFont="1" applyBorder="1"/>
    <xf numFmtId="0" fontId="4" fillId="0" borderId="0" xfId="0" applyFont="1" applyAlignment="1">
      <alignment horizontal="left" vertical="center"/>
    </xf>
    <xf numFmtId="10" fontId="0" fillId="0" borderId="0" xfId="1" applyNumberFormat="1" applyFont="1" applyBorder="1"/>
    <xf numFmtId="0" fontId="0" fillId="0" borderId="7" xfId="0" applyBorder="1"/>
    <xf numFmtId="2" fontId="0" fillId="0" borderId="5" xfId="0" applyNumberFormat="1" applyBorder="1"/>
    <xf numFmtId="9" fontId="0" fillId="0" borderId="0" xfId="1" applyFont="1"/>
    <xf numFmtId="0" fontId="2" fillId="0" borderId="8" xfId="0" applyFont="1" applyBorder="1" applyAlignment="1">
      <alignment horizontal="center" vertical="center" wrapText="1"/>
    </xf>
    <xf numFmtId="2" fontId="2" fillId="0" borderId="10" xfId="0" applyNumberFormat="1" applyFont="1" applyBorder="1" applyAlignment="1">
      <alignment horizontal="center" vertical="top" wrapText="1"/>
    </xf>
    <xf numFmtId="9" fontId="2" fillId="0" borderId="10" xfId="1" applyFont="1" applyBorder="1" applyAlignment="1">
      <alignment horizontal="center" vertical="top" wrapText="1"/>
    </xf>
    <xf numFmtId="0" fontId="0" fillId="0" borderId="11" xfId="0" quotePrefix="1" applyBorder="1" applyAlignment="1">
      <alignment horizontal="center" vertical="top" wrapText="1"/>
    </xf>
    <xf numFmtId="0" fontId="0" fillId="0" borderId="11" xfId="0" applyBorder="1" applyAlignment="1">
      <alignment horizontal="center" vertical="top" wrapText="1"/>
    </xf>
    <xf numFmtId="2" fontId="6" fillId="0" borderId="11" xfId="0" applyNumberFormat="1" applyFont="1" applyBorder="1" applyAlignment="1">
      <alignment horizontal="center" vertical="top" wrapText="1"/>
    </xf>
    <xf numFmtId="10" fontId="6" fillId="0" borderId="11" xfId="1" applyNumberFormat="1" applyFont="1" applyBorder="1" applyAlignment="1">
      <alignment horizontal="center" vertical="top" wrapText="1"/>
    </xf>
    <xf numFmtId="10" fontId="1" fillId="0" borderId="11" xfId="1" quotePrefix="1" applyNumberFormat="1" applyFont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 wrapText="1"/>
    </xf>
    <xf numFmtId="2" fontId="0" fillId="0" borderId="0" xfId="0" applyNumberFormat="1"/>
    <xf numFmtId="2" fontId="2" fillId="3" borderId="11" xfId="0" applyNumberFormat="1" applyFont="1" applyFill="1" applyBorder="1" applyAlignment="1">
      <alignment horizontal="center" vertical="center" wrapText="1"/>
    </xf>
    <xf numFmtId="0" fontId="0" fillId="0" borderId="11" xfId="0" applyBorder="1"/>
    <xf numFmtId="0" fontId="0" fillId="0" borderId="11" xfId="0" applyBorder="1" applyAlignment="1">
      <alignment horizontal="center"/>
    </xf>
    <xf numFmtId="0" fontId="0" fillId="0" borderId="11" xfId="0" quotePrefix="1" applyBorder="1" applyAlignment="1">
      <alignment horizontal="center" vertical="center"/>
    </xf>
    <xf numFmtId="2" fontId="6" fillId="0" borderId="11" xfId="0" quotePrefix="1" applyNumberFormat="1" applyFont="1" applyBorder="1" applyAlignment="1">
      <alignment horizontal="center" vertical="center"/>
    </xf>
    <xf numFmtId="2" fontId="0" fillId="0" borderId="0" xfId="1" applyNumberFormat="1" applyFont="1" applyAlignment="1">
      <alignment horizontal="center"/>
    </xf>
    <xf numFmtId="0" fontId="0" fillId="0" borderId="12" xfId="0" applyBorder="1"/>
    <xf numFmtId="0" fontId="0" fillId="0" borderId="12" xfId="0" quotePrefix="1" applyBorder="1" applyAlignment="1">
      <alignment horizontal="center"/>
    </xf>
    <xf numFmtId="0" fontId="0" fillId="0" borderId="12" xfId="0" quotePrefix="1" applyBorder="1" applyAlignment="1">
      <alignment horizontal="center" vertical="center"/>
    </xf>
    <xf numFmtId="2" fontId="6" fillId="0" borderId="12" xfId="0" quotePrefix="1" applyNumberFormat="1" applyFont="1" applyBorder="1" applyAlignment="1">
      <alignment horizontal="center" vertical="center"/>
    </xf>
    <xf numFmtId="165" fontId="1" fillId="0" borderId="12" xfId="1" quotePrefix="1" applyNumberFormat="1" applyFont="1" applyBorder="1" applyAlignment="1">
      <alignment horizontal="center" vertical="center"/>
    </xf>
    <xf numFmtId="0" fontId="0" fillId="0" borderId="13" xfId="0" applyBorder="1"/>
    <xf numFmtId="0" fontId="0" fillId="0" borderId="13" xfId="0" applyBorder="1" applyAlignment="1">
      <alignment horizontal="center"/>
    </xf>
    <xf numFmtId="0" fontId="0" fillId="0" borderId="13" xfId="0" quotePrefix="1" applyBorder="1" applyAlignment="1">
      <alignment horizontal="center" vertical="center"/>
    </xf>
    <xf numFmtId="2" fontId="0" fillId="0" borderId="13" xfId="0" quotePrefix="1" applyNumberForma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65" fontId="1" fillId="0" borderId="11" xfId="1" quotePrefix="1" applyNumberFormat="1" applyFont="1" applyBorder="1" applyAlignment="1">
      <alignment horizontal="center" vertical="center"/>
    </xf>
    <xf numFmtId="10" fontId="0" fillId="0" borderId="0" xfId="0" applyNumberFormat="1"/>
    <xf numFmtId="9" fontId="0" fillId="0" borderId="0" xfId="0" applyNumberFormat="1"/>
    <xf numFmtId="165" fontId="0" fillId="0" borderId="0" xfId="0" applyNumberFormat="1"/>
    <xf numFmtId="2" fontId="6" fillId="0" borderId="11" xfId="0" applyNumberFormat="1" applyFont="1" applyBorder="1" applyAlignment="1">
      <alignment horizontal="center" vertical="center"/>
    </xf>
    <xf numFmtId="166" fontId="0" fillId="0" borderId="0" xfId="0" applyNumberFormat="1"/>
    <xf numFmtId="10" fontId="0" fillId="3" borderId="0" xfId="0" applyNumberFormat="1" applyFill="1"/>
    <xf numFmtId="10" fontId="6" fillId="0" borderId="12" xfId="1" applyNumberFormat="1" applyFont="1" applyBorder="1" applyAlignment="1">
      <alignment horizontal="center" vertical="top" wrapText="1"/>
    </xf>
    <xf numFmtId="9" fontId="0" fillId="0" borderId="13" xfId="1" quotePrefix="1" applyFont="1" applyBorder="1" applyAlignment="1">
      <alignment horizontal="center" vertical="center"/>
    </xf>
    <xf numFmtId="9" fontId="6" fillId="0" borderId="11" xfId="1" applyFont="1" applyBorder="1" applyAlignment="1">
      <alignment horizontal="center" vertical="top" wrapText="1"/>
    </xf>
    <xf numFmtId="0" fontId="0" fillId="0" borderId="14" xfId="0" applyBorder="1"/>
    <xf numFmtId="0" fontId="0" fillId="0" borderId="14" xfId="0" applyBorder="1" applyAlignment="1">
      <alignment horizontal="center"/>
    </xf>
    <xf numFmtId="0" fontId="0" fillId="0" borderId="14" xfId="0" quotePrefix="1" applyBorder="1" applyAlignment="1">
      <alignment horizontal="center" vertical="center"/>
    </xf>
    <xf numFmtId="2" fontId="0" fillId="0" borderId="14" xfId="0" quotePrefix="1" applyNumberFormat="1" applyBorder="1" applyAlignment="1">
      <alignment horizontal="center" vertical="center"/>
    </xf>
    <xf numFmtId="10" fontId="6" fillId="0" borderId="14" xfId="1" applyNumberFormat="1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 vertical="center"/>
    </xf>
    <xf numFmtId="2" fontId="0" fillId="0" borderId="0" xfId="0" quotePrefix="1" applyNumberFormat="1" applyAlignment="1">
      <alignment horizontal="center" vertical="center"/>
    </xf>
    <xf numFmtId="10" fontId="6" fillId="0" borderId="0" xfId="1" applyNumberFormat="1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center" wrapText="1"/>
    </xf>
    <xf numFmtId="2" fontId="2" fillId="0" borderId="5" xfId="0" applyNumberFormat="1" applyFont="1" applyBorder="1" applyAlignment="1">
      <alignment horizontal="center" vertical="top" wrapText="1"/>
    </xf>
    <xf numFmtId="9" fontId="2" fillId="0" borderId="5" xfId="1" applyFont="1" applyBorder="1" applyAlignment="1">
      <alignment horizontal="center" vertical="top" wrapText="1"/>
    </xf>
    <xf numFmtId="0" fontId="4" fillId="0" borderId="6" xfId="0" applyFont="1" applyBorder="1" applyAlignment="1">
      <alignment horizontal="center" vertical="center" wrapText="1"/>
    </xf>
    <xf numFmtId="0" fontId="0" fillId="0" borderId="15" xfId="0" quotePrefix="1" applyBorder="1" applyAlignment="1">
      <alignment horizontal="center" vertical="top" wrapText="1"/>
    </xf>
    <xf numFmtId="0" fontId="0" fillId="0" borderId="15" xfId="0" applyBorder="1" applyAlignment="1">
      <alignment horizontal="center" vertical="top" wrapText="1"/>
    </xf>
    <xf numFmtId="2" fontId="6" fillId="0" borderId="15" xfId="0" applyNumberFormat="1" applyFont="1" applyBorder="1" applyAlignment="1">
      <alignment horizontal="center" vertical="top" wrapText="1"/>
    </xf>
    <xf numFmtId="10" fontId="6" fillId="0" borderId="15" xfId="1" applyNumberFormat="1" applyFont="1" applyBorder="1" applyAlignment="1">
      <alignment horizontal="center" vertical="top" wrapText="1"/>
    </xf>
    <xf numFmtId="10" fontId="1" fillId="0" borderId="15" xfId="1" quotePrefix="1" applyNumberFormat="1" applyFont="1" applyBorder="1" applyAlignment="1">
      <alignment horizontal="center" vertical="center"/>
    </xf>
    <xf numFmtId="9" fontId="6" fillId="0" borderId="12" xfId="1" quotePrefix="1" applyFont="1" applyBorder="1" applyAlignment="1">
      <alignment horizontal="center" vertical="center"/>
    </xf>
    <xf numFmtId="10" fontId="0" fillId="0" borderId="0" xfId="1" applyNumberFormat="1" applyFont="1"/>
    <xf numFmtId="0" fontId="0" fillId="0" borderId="0" xfId="1" applyNumberFormat="1" applyFont="1"/>
    <xf numFmtId="9" fontId="0" fillId="3" borderId="0" xfId="1" applyFont="1" applyFill="1"/>
    <xf numFmtId="9" fontId="0" fillId="3" borderId="0" xfId="0" applyNumberFormat="1" applyFill="1"/>
    <xf numFmtId="165" fontId="0" fillId="3" borderId="0" xfId="0" applyNumberFormat="1" applyFill="1"/>
    <xf numFmtId="2" fontId="0" fillId="0" borderId="11" xfId="0" applyNumberFormat="1" applyBorder="1" applyAlignment="1">
      <alignment horizontal="center" vertical="top" wrapText="1"/>
    </xf>
    <xf numFmtId="2" fontId="0" fillId="0" borderId="11" xfId="0" quotePrefix="1" applyNumberFormat="1" applyBorder="1" applyAlignment="1">
      <alignment horizontal="center" vertical="center"/>
    </xf>
    <xf numFmtId="0" fontId="9" fillId="2" borderId="0" xfId="0" applyFont="1" applyFill="1"/>
    <xf numFmtId="0" fontId="9" fillId="0" borderId="0" xfId="0" applyFont="1"/>
    <xf numFmtId="0" fontId="9" fillId="2" borderId="0" xfId="0" applyFont="1" applyFill="1" applyAlignment="1">
      <alignment horizontal="center" vertical="center"/>
    </xf>
    <xf numFmtId="164" fontId="9" fillId="2" borderId="0" xfId="0" applyNumberFormat="1" applyFont="1" applyFill="1" applyAlignment="1">
      <alignment horizontal="center" vertical="center"/>
    </xf>
    <xf numFmtId="20" fontId="9" fillId="2" borderId="0" xfId="0" applyNumberFormat="1" applyFont="1" applyFill="1" applyAlignment="1">
      <alignment horizontal="center" vertical="center"/>
    </xf>
    <xf numFmtId="0" fontId="9" fillId="2" borderId="1" xfId="0" applyFont="1" applyFill="1" applyBorder="1" applyAlignment="1">
      <alignment vertical="center"/>
    </xf>
    <xf numFmtId="0" fontId="9" fillId="2" borderId="0" xfId="0" applyFont="1" applyFill="1" applyAlignment="1">
      <alignment vertical="center"/>
    </xf>
    <xf numFmtId="0" fontId="9" fillId="0" borderId="2" xfId="0" applyFont="1" applyBorder="1" applyAlignment="1">
      <alignment horizontal="left" vertical="center"/>
    </xf>
    <xf numFmtId="0" fontId="9" fillId="0" borderId="3" xfId="0" applyFont="1" applyBorder="1" applyAlignment="1">
      <alignment horizontal="center" vertical="center" wrapText="1"/>
    </xf>
    <xf numFmtId="0" fontId="9" fillId="0" borderId="18" xfId="0" applyFont="1" applyBorder="1" applyAlignment="1">
      <alignment horizontal="left" vertical="center"/>
    </xf>
    <xf numFmtId="0" fontId="9" fillId="0" borderId="6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left" vertical="center"/>
    </xf>
    <xf numFmtId="0" fontId="9" fillId="0" borderId="5" xfId="0" applyFont="1" applyBorder="1"/>
    <xf numFmtId="2" fontId="9" fillId="0" borderId="6" xfId="0" applyNumberFormat="1" applyFont="1" applyBorder="1"/>
    <xf numFmtId="0" fontId="9" fillId="0" borderId="5" xfId="0" applyFont="1" applyBorder="1" applyAlignment="1">
      <alignment horizontal="left" vertical="center"/>
    </xf>
    <xf numFmtId="10" fontId="9" fillId="0" borderId="5" xfId="1" applyNumberFormat="1" applyFont="1" applyBorder="1"/>
    <xf numFmtId="0" fontId="9" fillId="0" borderId="0" xfId="0" applyFont="1" applyAlignment="1">
      <alignment horizontal="left" vertical="center"/>
    </xf>
    <xf numFmtId="10" fontId="9" fillId="0" borderId="0" xfId="1" applyNumberFormat="1" applyFont="1" applyBorder="1"/>
    <xf numFmtId="0" fontId="9" fillId="0" borderId="7" xfId="0" applyFont="1" applyBorder="1"/>
    <xf numFmtId="2" fontId="9" fillId="0" borderId="5" xfId="0" applyNumberFormat="1" applyFont="1" applyBorder="1"/>
    <xf numFmtId="0" fontId="9" fillId="0" borderId="16" xfId="0" applyFont="1" applyBorder="1" applyAlignment="1">
      <alignment wrapText="1"/>
    </xf>
    <xf numFmtId="0" fontId="9" fillId="0" borderId="19" xfId="0" applyFont="1" applyBorder="1" applyAlignment="1">
      <alignment wrapText="1"/>
    </xf>
    <xf numFmtId="0" fontId="9" fillId="0" borderId="17" xfId="0" applyFont="1" applyBorder="1" applyAlignment="1">
      <alignment wrapText="1"/>
    </xf>
    <xf numFmtId="0" fontId="10" fillId="0" borderId="5" xfId="0" applyFont="1" applyBorder="1" applyAlignment="1">
      <alignment horizontal="center" vertical="center" wrapText="1"/>
    </xf>
    <xf numFmtId="2" fontId="10" fillId="0" borderId="17" xfId="0" applyNumberFormat="1" applyFont="1" applyBorder="1" applyAlignment="1">
      <alignment horizontal="center" vertical="top" wrapText="1"/>
    </xf>
    <xf numFmtId="9" fontId="10" fillId="0" borderId="17" xfId="1" applyFont="1" applyBorder="1" applyAlignment="1">
      <alignment horizontal="center" vertical="top" wrapText="1"/>
    </xf>
    <xf numFmtId="0" fontId="9" fillId="3" borderId="3" xfId="0" applyFont="1" applyFill="1" applyBorder="1" applyAlignment="1">
      <alignment horizontal="center" vertical="center" wrapText="1"/>
    </xf>
    <xf numFmtId="0" fontId="9" fillId="0" borderId="11" xfId="0" quotePrefix="1" applyFont="1" applyBorder="1" applyAlignment="1">
      <alignment horizontal="center" vertical="top" wrapText="1"/>
    </xf>
    <xf numFmtId="0" fontId="9" fillId="0" borderId="11" xfId="0" applyFont="1" applyBorder="1" applyAlignment="1">
      <alignment horizontal="center" vertical="top" wrapText="1"/>
    </xf>
    <xf numFmtId="2" fontId="11" fillId="0" borderId="11" xfId="0" applyNumberFormat="1" applyFont="1" applyBorder="1" applyAlignment="1">
      <alignment horizontal="center" vertical="top" wrapText="1"/>
    </xf>
    <xf numFmtId="10" fontId="11" fillId="0" borderId="11" xfId="1" applyNumberFormat="1" applyFont="1" applyBorder="1" applyAlignment="1">
      <alignment horizontal="center" vertical="top" wrapText="1"/>
    </xf>
    <xf numFmtId="10" fontId="9" fillId="0" borderId="11" xfId="1" quotePrefix="1" applyNumberFormat="1" applyFont="1" applyBorder="1" applyAlignment="1">
      <alignment horizontal="center" vertical="center"/>
    </xf>
    <xf numFmtId="0" fontId="10" fillId="3" borderId="11" xfId="0" applyFont="1" applyFill="1" applyBorder="1" applyAlignment="1">
      <alignment horizontal="center" vertical="center" wrapText="1"/>
    </xf>
    <xf numFmtId="2" fontId="9" fillId="0" borderId="0" xfId="0" applyNumberFormat="1" applyFont="1"/>
    <xf numFmtId="2" fontId="10" fillId="3" borderId="11" xfId="0" applyNumberFormat="1" applyFont="1" applyFill="1" applyBorder="1" applyAlignment="1">
      <alignment horizontal="center" vertical="center" wrapText="1"/>
    </xf>
    <xf numFmtId="0" fontId="9" fillId="0" borderId="11" xfId="0" applyFont="1" applyBorder="1"/>
    <xf numFmtId="0" fontId="9" fillId="0" borderId="11" xfId="0" applyFont="1" applyBorder="1" applyAlignment="1">
      <alignment horizontal="center"/>
    </xf>
    <xf numFmtId="0" fontId="9" fillId="6" borderId="11" xfId="0" quotePrefix="1" applyFont="1" applyFill="1" applyBorder="1" applyAlignment="1">
      <alignment horizontal="center" vertical="center"/>
    </xf>
    <xf numFmtId="2" fontId="11" fillId="6" borderId="11" xfId="0" quotePrefix="1" applyNumberFormat="1" applyFont="1" applyFill="1" applyBorder="1" applyAlignment="1">
      <alignment horizontal="center" vertical="center"/>
    </xf>
    <xf numFmtId="10" fontId="11" fillId="6" borderId="11" xfId="1" applyNumberFormat="1" applyFont="1" applyFill="1" applyBorder="1" applyAlignment="1">
      <alignment horizontal="center" vertical="top" wrapText="1"/>
    </xf>
    <xf numFmtId="10" fontId="9" fillId="6" borderId="11" xfId="1" quotePrefix="1" applyNumberFormat="1" applyFont="1" applyFill="1" applyBorder="1" applyAlignment="1">
      <alignment horizontal="center" vertical="center"/>
    </xf>
    <xf numFmtId="2" fontId="9" fillId="0" borderId="0" xfId="1" applyNumberFormat="1" applyFont="1" applyAlignment="1">
      <alignment horizontal="center"/>
    </xf>
    <xf numFmtId="0" fontId="9" fillId="0" borderId="11" xfId="0" quotePrefix="1" applyFont="1" applyBorder="1" applyAlignment="1">
      <alignment horizontal="center" vertical="center"/>
    </xf>
    <xf numFmtId="2" fontId="11" fillId="0" borderId="11" xfId="0" quotePrefix="1" applyNumberFormat="1" applyFont="1" applyBorder="1" applyAlignment="1">
      <alignment horizontal="center" vertical="center"/>
    </xf>
    <xf numFmtId="0" fontId="9" fillId="0" borderId="12" xfId="0" applyFont="1" applyBorder="1"/>
    <xf numFmtId="0" fontId="9" fillId="0" borderId="12" xfId="0" quotePrefix="1" applyFont="1" applyBorder="1" applyAlignment="1">
      <alignment horizontal="center"/>
    </xf>
    <xf numFmtId="0" fontId="9" fillId="0" borderId="12" xfId="0" quotePrefix="1" applyFont="1" applyBorder="1" applyAlignment="1">
      <alignment horizontal="center" vertical="center"/>
    </xf>
    <xf numFmtId="2" fontId="11" fillId="0" borderId="12" xfId="0" quotePrefix="1" applyNumberFormat="1" applyFont="1" applyBorder="1" applyAlignment="1">
      <alignment horizontal="center" vertical="center"/>
    </xf>
    <xf numFmtId="165" fontId="9" fillId="0" borderId="12" xfId="1" quotePrefix="1" applyNumberFormat="1" applyFont="1" applyBorder="1" applyAlignment="1">
      <alignment horizontal="center" vertical="center"/>
    </xf>
    <xf numFmtId="0" fontId="9" fillId="0" borderId="13" xfId="0" applyFont="1" applyBorder="1"/>
    <xf numFmtId="0" fontId="9" fillId="0" borderId="13" xfId="0" applyFont="1" applyBorder="1" applyAlignment="1">
      <alignment horizontal="center"/>
    </xf>
    <xf numFmtId="0" fontId="9" fillId="0" borderId="13" xfId="0" quotePrefix="1" applyFont="1" applyBorder="1" applyAlignment="1">
      <alignment horizontal="center" vertical="center"/>
    </xf>
    <xf numFmtId="2" fontId="9" fillId="0" borderId="13" xfId="0" quotePrefix="1" applyNumberFormat="1" applyFont="1" applyBorder="1" applyAlignment="1">
      <alignment horizontal="center" vertical="center"/>
    </xf>
    <xf numFmtId="10" fontId="11" fillId="0" borderId="13" xfId="1" applyNumberFormat="1" applyFont="1" applyBorder="1" applyAlignment="1">
      <alignment horizontal="center" vertical="top" wrapText="1"/>
    </xf>
    <xf numFmtId="0" fontId="9" fillId="0" borderId="0" xfId="0" applyFont="1" applyAlignment="1">
      <alignment horizontal="center"/>
    </xf>
    <xf numFmtId="0" fontId="9" fillId="0" borderId="0" xfId="0" quotePrefix="1" applyFont="1" applyAlignment="1">
      <alignment horizontal="center" vertical="center"/>
    </xf>
    <xf numFmtId="2" fontId="9" fillId="0" borderId="0" xfId="0" quotePrefix="1" applyNumberFormat="1" applyFont="1" applyAlignment="1">
      <alignment horizontal="center" vertical="center"/>
    </xf>
    <xf numFmtId="10" fontId="11" fillId="0" borderId="0" xfId="1" applyNumberFormat="1" applyFont="1" applyBorder="1" applyAlignment="1">
      <alignment horizontal="center" vertical="top" wrapText="1"/>
    </xf>
    <xf numFmtId="0" fontId="9" fillId="0" borderId="0" xfId="0" applyFont="1" applyAlignment="1">
      <alignment horizontal="center" vertical="center" wrapText="1"/>
    </xf>
    <xf numFmtId="165" fontId="9" fillId="0" borderId="11" xfId="1" quotePrefix="1" applyNumberFormat="1" applyFont="1" applyBorder="1" applyAlignment="1">
      <alignment horizontal="center" vertical="center"/>
    </xf>
    <xf numFmtId="10" fontId="9" fillId="0" borderId="0" xfId="0" applyNumberFormat="1" applyFont="1"/>
    <xf numFmtId="9" fontId="9" fillId="0" borderId="0" xfId="1" applyFont="1"/>
    <xf numFmtId="9" fontId="9" fillId="0" borderId="0" xfId="0" applyNumberFormat="1" applyFont="1"/>
    <xf numFmtId="165" fontId="9" fillId="0" borderId="0" xfId="0" applyNumberFormat="1" applyFont="1"/>
    <xf numFmtId="2" fontId="11" fillId="6" borderId="11" xfId="0" applyNumberFormat="1" applyFont="1" applyFill="1" applyBorder="1" applyAlignment="1">
      <alignment horizontal="center" vertical="center"/>
    </xf>
    <xf numFmtId="165" fontId="9" fillId="6" borderId="11" xfId="1" quotePrefix="1" applyNumberFormat="1" applyFont="1" applyFill="1" applyBorder="1" applyAlignment="1">
      <alignment horizontal="center" vertical="center"/>
    </xf>
    <xf numFmtId="166" fontId="9" fillId="0" borderId="0" xfId="0" applyNumberFormat="1" applyFont="1"/>
    <xf numFmtId="2" fontId="11" fillId="0" borderId="11" xfId="0" applyNumberFormat="1" applyFont="1" applyBorder="1" applyAlignment="1">
      <alignment horizontal="center" vertical="center"/>
    </xf>
    <xf numFmtId="9" fontId="11" fillId="0" borderId="13" xfId="1" applyFont="1" applyBorder="1" applyAlignment="1">
      <alignment horizontal="center" vertical="top" wrapText="1"/>
    </xf>
    <xf numFmtId="9" fontId="11" fillId="0" borderId="0" xfId="1" applyFont="1" applyBorder="1" applyAlignment="1">
      <alignment horizontal="center" vertical="top" wrapText="1"/>
    </xf>
    <xf numFmtId="0" fontId="9" fillId="2" borderId="5" xfId="0" applyFont="1" applyFill="1" applyBorder="1" applyAlignment="1">
      <alignment horizontal="center" wrapText="1"/>
    </xf>
    <xf numFmtId="2" fontId="10" fillId="0" borderId="5" xfId="0" applyNumberFormat="1" applyFont="1" applyBorder="1" applyAlignment="1">
      <alignment horizontal="center" vertical="top" wrapText="1"/>
    </xf>
    <xf numFmtId="9" fontId="10" fillId="0" borderId="5" xfId="1" applyFont="1" applyBorder="1" applyAlignment="1">
      <alignment horizontal="center" vertical="top" wrapText="1"/>
    </xf>
    <xf numFmtId="0" fontId="9" fillId="5" borderId="5" xfId="0" applyFont="1" applyFill="1" applyBorder="1" applyAlignment="1">
      <alignment horizontal="center" wrapText="1"/>
    </xf>
    <xf numFmtId="0" fontId="9" fillId="0" borderId="15" xfId="0" quotePrefix="1" applyFont="1" applyBorder="1" applyAlignment="1">
      <alignment horizontal="center" vertical="top" wrapText="1"/>
    </xf>
    <xf numFmtId="0" fontId="9" fillId="0" borderId="15" xfId="0" applyFont="1" applyBorder="1" applyAlignment="1">
      <alignment horizontal="center" vertical="top" wrapText="1"/>
    </xf>
    <xf numFmtId="2" fontId="11" fillId="0" borderId="15" xfId="0" applyNumberFormat="1" applyFont="1" applyBorder="1" applyAlignment="1">
      <alignment horizontal="center" vertical="top" wrapText="1"/>
    </xf>
    <xf numFmtId="10" fontId="9" fillId="0" borderId="15" xfId="1" quotePrefix="1" applyNumberFormat="1" applyFont="1" applyBorder="1" applyAlignment="1">
      <alignment horizontal="center" vertical="center"/>
    </xf>
    <xf numFmtId="1" fontId="9" fillId="5" borderId="5" xfId="0" applyNumberFormat="1" applyFont="1" applyFill="1" applyBorder="1" applyAlignment="1">
      <alignment horizontal="center" wrapText="1"/>
    </xf>
    <xf numFmtId="0" fontId="9" fillId="2" borderId="5" xfId="0" applyFont="1" applyFill="1" applyBorder="1" applyAlignment="1">
      <alignment wrapText="1"/>
    </xf>
    <xf numFmtId="0" fontId="9" fillId="4" borderId="5" xfId="0" applyFont="1" applyFill="1" applyBorder="1" applyAlignment="1">
      <alignment horizontal="center" wrapText="1"/>
    </xf>
    <xf numFmtId="1" fontId="9" fillId="4" borderId="5" xfId="0" applyNumberFormat="1" applyFont="1" applyFill="1" applyBorder="1" applyAlignment="1">
      <alignment horizontal="center" wrapText="1"/>
    </xf>
    <xf numFmtId="0" fontId="9" fillId="0" borderId="15" xfId="0" applyFont="1" applyBorder="1"/>
    <xf numFmtId="10" fontId="9" fillId="0" borderId="0" xfId="1" applyNumberFormat="1" applyFont="1"/>
    <xf numFmtId="0" fontId="9" fillId="0" borderId="0" xfId="1" applyNumberFormat="1" applyFont="1"/>
    <xf numFmtId="14" fontId="0" fillId="0" borderId="0" xfId="0" applyNumberFormat="1"/>
    <xf numFmtId="20" fontId="0" fillId="0" borderId="0" xfId="0" applyNumberFormat="1"/>
    <xf numFmtId="1" fontId="0" fillId="0" borderId="0" xfId="0" applyNumberFormat="1"/>
    <xf numFmtId="167" fontId="0" fillId="0" borderId="0" xfId="0" applyNumberFormat="1"/>
    <xf numFmtId="2" fontId="11" fillId="0" borderId="12" xfId="0" applyNumberFormat="1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top" wrapText="1"/>
    </xf>
    <xf numFmtId="0" fontId="2" fillId="0" borderId="10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3" fillId="2" borderId="0" xfId="0" applyFont="1" applyFill="1" applyAlignment="1">
      <alignment horizontal="center" vertical="center"/>
    </xf>
    <xf numFmtId="0" fontId="10" fillId="0" borderId="16" xfId="0" applyFont="1" applyBorder="1" applyAlignment="1">
      <alignment horizontal="center" vertical="top" wrapText="1"/>
    </xf>
    <xf numFmtId="0" fontId="10" fillId="0" borderId="17" xfId="0" applyFont="1" applyBorder="1" applyAlignment="1">
      <alignment horizontal="center" vertical="top" wrapText="1"/>
    </xf>
    <xf numFmtId="0" fontId="10" fillId="0" borderId="5" xfId="0" applyFont="1" applyBorder="1" applyAlignment="1">
      <alignment horizontal="center" vertical="top" wrapText="1"/>
    </xf>
    <xf numFmtId="0" fontId="9" fillId="2" borderId="0" xfId="0" applyFont="1" applyFill="1" applyAlignment="1">
      <alignment horizontal="center" vertical="center"/>
    </xf>
    <xf numFmtId="0" fontId="9" fillId="3" borderId="16" xfId="0" applyFont="1" applyFill="1" applyBorder="1" applyAlignment="1">
      <alignment horizontal="center" wrapText="1"/>
    </xf>
    <xf numFmtId="0" fontId="9" fillId="3" borderId="17" xfId="0" applyFont="1" applyFill="1" applyBorder="1" applyAlignment="1">
      <alignment horizontal="center" wrapText="1"/>
    </xf>
    <xf numFmtId="0" fontId="9" fillId="4" borderId="16" xfId="0" applyFont="1" applyFill="1" applyBorder="1" applyAlignment="1">
      <alignment horizontal="center" wrapText="1"/>
    </xf>
    <xf numFmtId="0" fontId="9" fillId="4" borderId="17" xfId="0" applyFont="1" applyFill="1" applyBorder="1" applyAlignment="1">
      <alignment horizontal="center" wrapText="1"/>
    </xf>
    <xf numFmtId="0" fontId="9" fillId="5" borderId="16" xfId="0" applyFont="1" applyFill="1" applyBorder="1" applyAlignment="1">
      <alignment horizontal="center" wrapText="1"/>
    </xf>
    <xf numFmtId="0" fontId="9" fillId="5" borderId="17" xfId="0" applyFont="1" applyFill="1" applyBorder="1" applyAlignment="1">
      <alignment horizontal="center" wrapText="1"/>
    </xf>
    <xf numFmtId="0" fontId="9" fillId="6" borderId="5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1476375</xdr:colOff>
      <xdr:row>3</xdr:row>
      <xdr:rowOff>19050</xdr:rowOff>
    </xdr:to>
    <xdr:pic>
      <xdr:nvPicPr>
        <xdr:cNvPr id="2" name="Picture 1" descr="MR Logo">
          <a:extLst>
            <a:ext uri="{FF2B5EF4-FFF2-40B4-BE49-F238E27FC236}">
              <a16:creationId xmlns:a16="http://schemas.microsoft.com/office/drawing/2014/main" id="{57EAAF1E-3195-434D-8E78-52480BC6BD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476375" cy="876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1476375</xdr:colOff>
      <xdr:row>3</xdr:row>
      <xdr:rowOff>19050</xdr:rowOff>
    </xdr:to>
    <xdr:pic>
      <xdr:nvPicPr>
        <xdr:cNvPr id="2" name="Picture 1" descr="MR Logo">
          <a:extLst>
            <a:ext uri="{FF2B5EF4-FFF2-40B4-BE49-F238E27FC236}">
              <a16:creationId xmlns:a16="http://schemas.microsoft.com/office/drawing/2014/main" id="{B218285C-BA0C-4553-9EF2-B4D2A5888A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476375" cy="876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1476375</xdr:colOff>
      <xdr:row>3</xdr:row>
      <xdr:rowOff>19050</xdr:rowOff>
    </xdr:to>
    <xdr:pic>
      <xdr:nvPicPr>
        <xdr:cNvPr id="2" name="Picture 1" descr="MR Logo">
          <a:extLst>
            <a:ext uri="{FF2B5EF4-FFF2-40B4-BE49-F238E27FC236}">
              <a16:creationId xmlns:a16="http://schemas.microsoft.com/office/drawing/2014/main" id="{B228E068-8ED5-447B-AC38-8C4DEFE1C2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85725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1476375</xdr:colOff>
      <xdr:row>3</xdr:row>
      <xdr:rowOff>19050</xdr:rowOff>
    </xdr:to>
    <xdr:pic>
      <xdr:nvPicPr>
        <xdr:cNvPr id="2" name="Picture 1" descr="MR Logo">
          <a:extLst>
            <a:ext uri="{FF2B5EF4-FFF2-40B4-BE49-F238E27FC236}">
              <a16:creationId xmlns:a16="http://schemas.microsoft.com/office/drawing/2014/main" id="{40E4CCC6-9097-4695-BB18-9DD7B18C42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942975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1476375</xdr:colOff>
      <xdr:row>3</xdr:row>
      <xdr:rowOff>19050</xdr:rowOff>
    </xdr:to>
    <xdr:pic>
      <xdr:nvPicPr>
        <xdr:cNvPr id="2" name="Picture 1" descr="MR Logo">
          <a:extLst>
            <a:ext uri="{FF2B5EF4-FFF2-40B4-BE49-F238E27FC236}">
              <a16:creationId xmlns:a16="http://schemas.microsoft.com/office/drawing/2014/main" id="{F39BFA20-F397-4908-A7E0-55B035A3DE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942975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AA4AF6-5EB6-4A76-9497-87A2A78C2AF9}">
  <dimension ref="C2:C7"/>
  <sheetViews>
    <sheetView workbookViewId="0">
      <selection activeCell="D9" sqref="D9"/>
    </sheetView>
  </sheetViews>
  <sheetFormatPr defaultRowHeight="15" x14ac:dyDescent="0.25"/>
  <cols>
    <col min="3" max="3" width="9.42578125" bestFit="1" customWidth="1"/>
  </cols>
  <sheetData>
    <row r="2" spans="3:3" x14ac:dyDescent="0.25">
      <c r="C2" t="s">
        <v>0</v>
      </c>
    </row>
    <row r="4" spans="3:3" x14ac:dyDescent="0.25">
      <c r="C4" s="1">
        <v>41925</v>
      </c>
    </row>
    <row r="5" spans="3:3" x14ac:dyDescent="0.25">
      <c r="C5" s="1">
        <v>41926</v>
      </c>
    </row>
    <row r="6" spans="3:3" x14ac:dyDescent="0.25">
      <c r="C6" s="1">
        <v>41931</v>
      </c>
    </row>
    <row r="7" spans="3:3" x14ac:dyDescent="0.25">
      <c r="C7" s="1">
        <v>41943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914F5-BF6A-46B6-BA97-A12C6789B047}">
  <sheetPr>
    <pageSetUpPr fitToPage="1"/>
  </sheetPr>
  <dimension ref="A1:W225"/>
  <sheetViews>
    <sheetView topLeftCell="A16" zoomScale="70" zoomScaleNormal="70" workbookViewId="0">
      <pane xSplit="9" ySplit="5" topLeftCell="J21" activePane="bottomRight" state="frozen"/>
      <selection activeCell="A16" sqref="A16"/>
      <selection pane="topRight" activeCell="J16" sqref="J16"/>
      <selection pane="bottomLeft" activeCell="A21" sqref="A21"/>
      <selection pane="bottomRight" activeCell="A29" sqref="A29"/>
    </sheetView>
  </sheetViews>
  <sheetFormatPr defaultRowHeight="15" x14ac:dyDescent="0.25"/>
  <cols>
    <col min="1" max="1" width="23.140625" customWidth="1"/>
    <col min="2" max="5" width="17" customWidth="1"/>
    <col min="6" max="6" width="17" style="20" customWidth="1"/>
    <col min="7" max="7" width="17" customWidth="1"/>
    <col min="8" max="8" width="28.7109375" hidden="1" customWidth="1"/>
    <col min="9" max="9" width="25.5703125" hidden="1" customWidth="1"/>
    <col min="10" max="10" width="8" customWidth="1"/>
    <col min="11" max="11" width="8.28515625" customWidth="1"/>
    <col min="12" max="12" width="7.140625" customWidth="1"/>
    <col min="13" max="13" width="7.85546875" customWidth="1"/>
    <col min="14" max="14" width="5.85546875" customWidth="1"/>
    <col min="15" max="15" width="8" customWidth="1"/>
    <col min="16" max="16" width="6.85546875" customWidth="1"/>
    <col min="17" max="17" width="8.5703125" customWidth="1"/>
    <col min="18" max="19" width="10.140625" customWidth="1"/>
    <col min="20" max="20" width="16.140625" customWidth="1"/>
    <col min="21" max="21" width="18.5703125" bestFit="1" customWidth="1"/>
    <col min="22" max="22" width="21.42578125" bestFit="1" customWidth="1"/>
  </cols>
  <sheetData>
    <row r="1" spans="1:13" ht="22.5" customHeight="1" x14ac:dyDescent="0.25">
      <c r="A1" s="2"/>
      <c r="B1" s="176" t="s">
        <v>1</v>
      </c>
      <c r="C1" s="176"/>
      <c r="D1" s="176"/>
      <c r="E1" s="176"/>
      <c r="F1" s="176"/>
      <c r="G1" s="176"/>
    </row>
    <row r="2" spans="1:13" ht="22.5" customHeight="1" x14ac:dyDescent="0.25">
      <c r="A2" s="2"/>
      <c r="B2" s="176"/>
      <c r="C2" s="176"/>
      <c r="D2" s="176"/>
      <c r="E2" s="176"/>
      <c r="F2" s="176"/>
      <c r="G2" s="176"/>
    </row>
    <row r="3" spans="1:13" ht="22.5" customHeight="1" x14ac:dyDescent="0.25">
      <c r="A3" s="2"/>
      <c r="B3" s="176"/>
      <c r="C3" s="176"/>
      <c r="D3" s="176"/>
      <c r="E3" s="176"/>
      <c r="F3" s="176"/>
      <c r="G3" s="176"/>
    </row>
    <row r="4" spans="1:13" ht="22.5" customHeight="1" x14ac:dyDescent="0.25">
      <c r="A4" s="2"/>
      <c r="B4" s="3" t="s">
        <v>2</v>
      </c>
      <c r="C4" s="4">
        <v>41925</v>
      </c>
      <c r="D4" s="5"/>
      <c r="E4" s="5"/>
      <c r="F4" s="5"/>
      <c r="G4" s="5"/>
    </row>
    <row r="5" spans="1:13" ht="22.5" customHeight="1" x14ac:dyDescent="0.25">
      <c r="A5" s="2"/>
      <c r="B5" s="3" t="s">
        <v>3</v>
      </c>
      <c r="C5" s="6">
        <v>0.3611111111111111</v>
      </c>
      <c r="D5" s="5"/>
      <c r="E5" s="5"/>
      <c r="F5" s="5"/>
      <c r="G5" s="5"/>
    </row>
    <row r="6" spans="1:13" ht="22.5" customHeight="1" thickBot="1" x14ac:dyDescent="0.3">
      <c r="A6" s="2"/>
      <c r="B6" s="7"/>
      <c r="C6" s="7"/>
      <c r="D6" s="7"/>
      <c r="E6" s="7"/>
      <c r="F6" s="8"/>
      <c r="G6" s="8"/>
    </row>
    <row r="7" spans="1:13" ht="23.25" customHeight="1" thickTop="1" x14ac:dyDescent="0.25">
      <c r="A7" s="9" t="s">
        <v>4</v>
      </c>
      <c r="B7" s="10" t="s">
        <v>5</v>
      </c>
      <c r="C7" s="10" t="s">
        <v>6</v>
      </c>
      <c r="D7" s="10" t="s">
        <v>7</v>
      </c>
      <c r="E7" s="10" t="s">
        <v>8</v>
      </c>
      <c r="F7" s="10" t="s">
        <v>9</v>
      </c>
      <c r="G7" s="10" t="s">
        <v>10</v>
      </c>
    </row>
    <row r="8" spans="1:13" ht="23.25" customHeight="1" x14ac:dyDescent="0.25">
      <c r="A8" s="11" t="s">
        <v>11</v>
      </c>
      <c r="B8" s="12">
        <v>530</v>
      </c>
      <c r="C8" s="12">
        <v>542</v>
      </c>
      <c r="D8" s="12">
        <v>534</v>
      </c>
      <c r="E8" s="12">
        <v>536</v>
      </c>
      <c r="F8" s="12">
        <v>536</v>
      </c>
      <c r="G8" s="12">
        <v>536</v>
      </c>
    </row>
    <row r="9" spans="1:13" ht="23.25" customHeight="1" x14ac:dyDescent="0.25">
      <c r="A9" s="11" t="s">
        <v>12</v>
      </c>
      <c r="B9" s="12">
        <v>2930.5</v>
      </c>
      <c r="C9" s="12">
        <v>2894.1</v>
      </c>
      <c r="D9" s="12">
        <v>3092.2</v>
      </c>
      <c r="E9" s="12">
        <v>2669.3</v>
      </c>
      <c r="F9" s="12">
        <v>2628.6</v>
      </c>
      <c r="G9" s="12">
        <v>2059.6999999999998</v>
      </c>
    </row>
    <row r="10" spans="1:13" ht="23.25" customHeight="1" x14ac:dyDescent="0.25">
      <c r="A10" s="11" t="s">
        <v>13</v>
      </c>
      <c r="B10" s="13">
        <f>$E33</f>
        <v>967.13</v>
      </c>
      <c r="C10" s="13">
        <f>$E47</f>
        <v>1337.03</v>
      </c>
      <c r="D10" s="13">
        <f>$E61</f>
        <v>1589.25</v>
      </c>
      <c r="E10" s="13">
        <f>$E75</f>
        <v>1297.6099999999999</v>
      </c>
      <c r="F10" s="13">
        <f>$E89</f>
        <v>1272.4899999999998</v>
      </c>
      <c r="G10" s="13">
        <f>$E103</f>
        <v>1117.6999999999998</v>
      </c>
    </row>
    <row r="11" spans="1:13" ht="23.25" customHeight="1" x14ac:dyDescent="0.25">
      <c r="A11" s="14" t="s">
        <v>14</v>
      </c>
      <c r="B11" s="15">
        <f t="shared" ref="B11:G11" si="0">B10/(B9-B8)</f>
        <v>0.40288689856279941</v>
      </c>
      <c r="C11" s="15">
        <f t="shared" si="0"/>
        <v>0.56844096764593344</v>
      </c>
      <c r="D11" s="15">
        <f t="shared" si="0"/>
        <v>0.62123758892971626</v>
      </c>
      <c r="E11" s="15">
        <f t="shared" si="0"/>
        <v>0.60826419162799406</v>
      </c>
      <c r="F11" s="15">
        <f t="shared" si="0"/>
        <v>0.608090413839243</v>
      </c>
      <c r="G11" s="15">
        <f t="shared" si="0"/>
        <v>0.73354334842816826</v>
      </c>
    </row>
    <row r="12" spans="1:13" ht="23.25" customHeight="1" thickBot="1" x14ac:dyDescent="0.3">
      <c r="A12" s="16"/>
      <c r="B12" s="17"/>
      <c r="C12" s="17"/>
      <c r="D12" s="17"/>
      <c r="E12" s="17"/>
      <c r="F12" s="17"/>
      <c r="G12" s="17"/>
      <c r="H12" s="17"/>
      <c r="I12" s="17"/>
      <c r="K12" s="17"/>
      <c r="L12" s="17"/>
      <c r="M12" s="17"/>
    </row>
    <row r="13" spans="1:13" ht="23.25" customHeight="1" thickTop="1" x14ac:dyDescent="0.25">
      <c r="A13" s="9" t="s">
        <v>4</v>
      </c>
      <c r="B13" s="10" t="s">
        <v>15</v>
      </c>
      <c r="C13" s="10" t="s">
        <v>16</v>
      </c>
      <c r="D13" s="10" t="s">
        <v>17</v>
      </c>
      <c r="E13" s="10" t="s">
        <v>18</v>
      </c>
      <c r="F13" s="10" t="s">
        <v>19</v>
      </c>
      <c r="G13" s="10" t="s">
        <v>20</v>
      </c>
      <c r="H13" s="17"/>
      <c r="I13" s="17"/>
      <c r="K13" s="17"/>
      <c r="L13" s="17"/>
      <c r="M13" s="17"/>
    </row>
    <row r="14" spans="1:13" ht="23.25" customHeight="1" x14ac:dyDescent="0.25">
      <c r="A14" s="11" t="s">
        <v>11</v>
      </c>
      <c r="B14" s="12">
        <v>536</v>
      </c>
      <c r="C14" s="12">
        <v>538</v>
      </c>
      <c r="D14" s="12">
        <v>532</v>
      </c>
      <c r="E14" s="12">
        <v>532</v>
      </c>
      <c r="F14" s="12">
        <v>532</v>
      </c>
      <c r="G14" s="12">
        <v>532</v>
      </c>
      <c r="H14" s="17"/>
      <c r="I14" s="17"/>
      <c r="K14" s="17"/>
      <c r="L14" s="17"/>
      <c r="M14" s="17"/>
    </row>
    <row r="15" spans="1:13" ht="23.25" customHeight="1" x14ac:dyDescent="0.25">
      <c r="A15" s="11" t="s">
        <v>12</v>
      </c>
      <c r="B15" s="18">
        <v>2868.4</v>
      </c>
      <c r="C15" s="12">
        <v>3628.6</v>
      </c>
      <c r="D15" s="12">
        <v>2335.1999999999998</v>
      </c>
      <c r="E15" s="12">
        <v>1212.4000000000001</v>
      </c>
      <c r="F15" s="12">
        <v>3489.4</v>
      </c>
      <c r="G15" s="12">
        <v>3861</v>
      </c>
      <c r="H15" s="17"/>
      <c r="I15" s="17"/>
      <c r="K15" s="17"/>
      <c r="L15" s="17"/>
      <c r="M15" s="17"/>
    </row>
    <row r="16" spans="1:13" ht="23.25" customHeight="1" x14ac:dyDescent="0.25">
      <c r="A16" s="11" t="s">
        <v>13</v>
      </c>
      <c r="B16" s="19">
        <f>$E119</f>
        <v>944.67000000000007</v>
      </c>
      <c r="C16" s="19">
        <f>$E133</f>
        <v>1671.7199999999998</v>
      </c>
      <c r="D16" s="19">
        <f>$E147</f>
        <v>1231.6999999999998</v>
      </c>
      <c r="E16" s="19">
        <f>$E161</f>
        <v>498.05000000000007</v>
      </c>
      <c r="F16" s="19">
        <f>$E175</f>
        <v>1542.5300000000002</v>
      </c>
      <c r="G16" s="19">
        <f>$E189</f>
        <v>1933.1900000000003</v>
      </c>
      <c r="H16" s="17"/>
      <c r="I16" s="17"/>
      <c r="K16" s="17"/>
      <c r="L16" s="17"/>
      <c r="M16" s="17"/>
    </row>
    <row r="17" spans="1:23" ht="23.25" customHeight="1" x14ac:dyDescent="0.25">
      <c r="A17" s="14" t="s">
        <v>14</v>
      </c>
      <c r="B17" s="15">
        <f t="shared" ref="B17:G17" si="1">B16/(B15-B14)</f>
        <v>0.40502057966043564</v>
      </c>
      <c r="C17" s="15">
        <f t="shared" si="1"/>
        <v>0.54090467870316439</v>
      </c>
      <c r="D17" s="15">
        <f t="shared" si="1"/>
        <v>0.68306344276841169</v>
      </c>
      <c r="E17" s="15">
        <f t="shared" si="1"/>
        <v>0.73199588477366251</v>
      </c>
      <c r="F17" s="15">
        <f t="shared" si="1"/>
        <v>0.52158314735916689</v>
      </c>
      <c r="G17" s="15">
        <f t="shared" si="1"/>
        <v>0.5807119255031542</v>
      </c>
      <c r="H17" s="17"/>
      <c r="I17" s="17"/>
      <c r="K17" s="17"/>
      <c r="L17" s="17"/>
      <c r="M17" s="17"/>
    </row>
    <row r="18" spans="1:23" ht="39" customHeight="1" x14ac:dyDescent="0.25">
      <c r="A18" s="16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</row>
    <row r="19" spans="1:23" ht="15.75" thickBot="1" x14ac:dyDescent="0.3">
      <c r="J19" t="s">
        <v>21</v>
      </c>
      <c r="T19" t="s">
        <v>22</v>
      </c>
    </row>
    <row r="20" spans="1:23" ht="30.75" thickBot="1" x14ac:dyDescent="0.3">
      <c r="B20" s="21" t="s">
        <v>23</v>
      </c>
      <c r="C20" s="173" t="s">
        <v>24</v>
      </c>
      <c r="D20" s="174"/>
      <c r="E20" s="22" t="s">
        <v>25</v>
      </c>
      <c r="F20" s="23" t="s">
        <v>26</v>
      </c>
      <c r="G20" s="22" t="s">
        <v>27</v>
      </c>
      <c r="H20" t="s">
        <v>28</v>
      </c>
      <c r="J20" t="s">
        <v>29</v>
      </c>
      <c r="K20" t="s">
        <v>30</v>
      </c>
      <c r="L20" t="s">
        <v>31</v>
      </c>
      <c r="M20" t="s">
        <v>32</v>
      </c>
      <c r="N20" t="s">
        <v>33</v>
      </c>
      <c r="O20" t="s">
        <v>34</v>
      </c>
      <c r="P20" t="s">
        <v>35</v>
      </c>
      <c r="Q20" t="s">
        <v>36</v>
      </c>
      <c r="R20" t="s">
        <v>37</v>
      </c>
      <c r="T20" t="s">
        <v>38</v>
      </c>
      <c r="U20" t="s">
        <v>39</v>
      </c>
      <c r="V20" t="s">
        <v>40</v>
      </c>
      <c r="W20" t="s">
        <v>41</v>
      </c>
    </row>
    <row r="21" spans="1:23" ht="57" thickTop="1" x14ac:dyDescent="0.25">
      <c r="B21" s="10" t="s">
        <v>42</v>
      </c>
      <c r="C21" s="24" t="s">
        <v>43</v>
      </c>
      <c r="D21" s="25">
        <v>1180</v>
      </c>
      <c r="E21" s="26">
        <v>17.63</v>
      </c>
      <c r="F21" s="27">
        <f>E21/$E$33</f>
        <v>1.8229193593415568E-2</v>
      </c>
      <c r="G21" s="28">
        <f>SUM(E22:E$32)/$E$33</f>
        <v>0.98177080640658454</v>
      </c>
    </row>
    <row r="22" spans="1:23" x14ac:dyDescent="0.25">
      <c r="B22" s="29" t="s">
        <v>44</v>
      </c>
      <c r="C22" s="25" t="s">
        <v>45</v>
      </c>
      <c r="D22" s="25">
        <v>600</v>
      </c>
      <c r="E22" s="26">
        <v>77.64</v>
      </c>
      <c r="F22" s="27">
        <f t="shared" ref="F22:F33" si="2">E22/$E$33</f>
        <v>8.0278762937764314E-2</v>
      </c>
      <c r="G22" s="28">
        <f>SUM(E23:E$32)/$E$33</f>
        <v>0.90149204346882017</v>
      </c>
      <c r="J22" s="30"/>
    </row>
    <row r="23" spans="1:23" x14ac:dyDescent="0.25">
      <c r="B23" s="31">
        <f>FORECAST(0.8,D22:D23,G22:G23)</f>
        <v>426.99869070399859</v>
      </c>
      <c r="C23" s="25" t="s">
        <v>46</v>
      </c>
      <c r="D23" s="25">
        <v>425</v>
      </c>
      <c r="E23" s="26">
        <v>99.29</v>
      </c>
      <c r="F23" s="27">
        <f t="shared" si="2"/>
        <v>0.10266458490585548</v>
      </c>
      <c r="G23" s="28">
        <f>SUM(E24:E$32)/$E$33</f>
        <v>0.79882745856296455</v>
      </c>
    </row>
    <row r="24" spans="1:23" x14ac:dyDescent="0.25">
      <c r="B24" s="32"/>
      <c r="C24" s="25" t="s">
        <v>47</v>
      </c>
      <c r="D24" s="25">
        <v>300</v>
      </c>
      <c r="E24" s="26">
        <v>146.72999999999999</v>
      </c>
      <c r="F24" s="27">
        <f t="shared" si="2"/>
        <v>0.15171693567565889</v>
      </c>
      <c r="G24" s="28">
        <f>SUM(E25:E$32)/$E$33</f>
        <v>0.64711052288730575</v>
      </c>
    </row>
    <row r="25" spans="1:23" x14ac:dyDescent="0.25">
      <c r="B25" s="32"/>
      <c r="C25" s="33" t="s">
        <v>48</v>
      </c>
      <c r="D25" s="34">
        <v>212</v>
      </c>
      <c r="E25" s="35">
        <v>137.96</v>
      </c>
      <c r="F25" s="27">
        <f>E25/$E$33</f>
        <v>0.14264886830105572</v>
      </c>
      <c r="G25" s="28">
        <f>SUM(E26:E$32)/$E$33</f>
        <v>0.50446165458625003</v>
      </c>
      <c r="H25" s="36">
        <f>SUM(F26:F32)*100</f>
        <v>50.446165458625003</v>
      </c>
    </row>
    <row r="26" spans="1:23" x14ac:dyDescent="0.25">
      <c r="B26" s="32"/>
      <c r="C26" s="33" t="s">
        <v>49</v>
      </c>
      <c r="D26" s="34">
        <v>180</v>
      </c>
      <c r="E26" s="35">
        <v>37.380000000000003</v>
      </c>
      <c r="F26" s="27">
        <f t="shared" si="2"/>
        <v>3.8650439961535679E-2</v>
      </c>
      <c r="G26" s="28">
        <f>SUM(E27:E$32)/$E$33</f>
        <v>0.46581121462471436</v>
      </c>
    </row>
    <row r="27" spans="1:23" x14ac:dyDescent="0.25">
      <c r="B27" s="32"/>
      <c r="C27" s="33" t="s">
        <v>50</v>
      </c>
      <c r="D27" s="34">
        <v>150</v>
      </c>
      <c r="E27" s="35">
        <v>55.96</v>
      </c>
      <c r="F27" s="27">
        <f t="shared" si="2"/>
        <v>5.7861921354936771E-2</v>
      </c>
      <c r="G27" s="28">
        <f>SUM(E28:E$32)/$E$33</f>
        <v>0.40794929326977758</v>
      </c>
    </row>
    <row r="28" spans="1:23" x14ac:dyDescent="0.25">
      <c r="B28" s="32"/>
      <c r="C28" s="33" t="s">
        <v>51</v>
      </c>
      <c r="D28" s="34">
        <v>106</v>
      </c>
      <c r="E28" s="35">
        <v>81.44</v>
      </c>
      <c r="F28" s="27">
        <f t="shared" si="2"/>
        <v>8.4207914137706411E-2</v>
      </c>
      <c r="G28" s="28">
        <f>SUM(E29:E$32)/$E$33</f>
        <v>0.32374137913207118</v>
      </c>
    </row>
    <row r="29" spans="1:23" x14ac:dyDescent="0.25">
      <c r="B29" s="32"/>
      <c r="C29" s="33" t="s">
        <v>52</v>
      </c>
      <c r="D29" s="34">
        <v>75</v>
      </c>
      <c r="E29" s="35">
        <v>55.24</v>
      </c>
      <c r="F29" s="27">
        <f t="shared" si="2"/>
        <v>5.7117450601263532E-2</v>
      </c>
      <c r="G29" s="28">
        <f>SUM(E30:E$32)/$E$33</f>
        <v>0.26662392853080769</v>
      </c>
    </row>
    <row r="30" spans="1:23" x14ac:dyDescent="0.25">
      <c r="B30" s="32"/>
      <c r="C30" s="33" t="s">
        <v>53</v>
      </c>
      <c r="D30" s="34">
        <v>53</v>
      </c>
      <c r="E30" s="35">
        <v>46.13</v>
      </c>
      <c r="F30" s="27">
        <f t="shared" si="2"/>
        <v>4.7697827592981301E-2</v>
      </c>
      <c r="G30" s="28">
        <f>SUM(E31:E$32)/$E$33</f>
        <v>0.21892610093782633</v>
      </c>
    </row>
    <row r="31" spans="1:23" x14ac:dyDescent="0.25">
      <c r="B31" s="32"/>
      <c r="C31" s="33" t="s">
        <v>54</v>
      </c>
      <c r="D31" s="34">
        <v>38</v>
      </c>
      <c r="E31" s="35">
        <v>39.01</v>
      </c>
      <c r="F31" s="27">
        <f t="shared" si="2"/>
        <v>4.0335839028879258E-2</v>
      </c>
      <c r="G31" s="28">
        <f>SUM(E32:E$32)/$E$33</f>
        <v>0.17859026190894708</v>
      </c>
    </row>
    <row r="32" spans="1:23" x14ac:dyDescent="0.25">
      <c r="B32" s="37"/>
      <c r="C32" s="38">
        <v>-38</v>
      </c>
      <c r="D32" s="39"/>
      <c r="E32" s="40">
        <v>172.72</v>
      </c>
      <c r="F32" s="27">
        <f>E32/$E$33</f>
        <v>0.17859026190894708</v>
      </c>
      <c r="G32" s="41"/>
    </row>
    <row r="33" spans="2:23" ht="15.75" thickBot="1" x14ac:dyDescent="0.3">
      <c r="B33" s="42"/>
      <c r="C33" s="43" t="s">
        <v>55</v>
      </c>
      <c r="D33" s="44"/>
      <c r="E33" s="45">
        <f>SUM(E21:E32)</f>
        <v>967.13</v>
      </c>
      <c r="F33" s="27">
        <f t="shared" si="2"/>
        <v>1</v>
      </c>
      <c r="G33" s="45"/>
    </row>
    <row r="34" spans="2:23" ht="33" customHeight="1" thickBot="1" x14ac:dyDescent="0.3">
      <c r="B34" s="21" t="s">
        <v>23</v>
      </c>
      <c r="C34" s="173" t="s">
        <v>24</v>
      </c>
      <c r="D34" s="174"/>
      <c r="E34" s="22" t="s">
        <v>25</v>
      </c>
      <c r="F34" s="23" t="s">
        <v>26</v>
      </c>
      <c r="G34" s="22" t="s">
        <v>27</v>
      </c>
      <c r="J34" s="46"/>
      <c r="K34" s="46"/>
      <c r="L34" s="46"/>
      <c r="M34" s="46"/>
      <c r="N34" s="46"/>
      <c r="O34" s="46"/>
    </row>
    <row r="35" spans="2:23" ht="38.25" thickTop="1" x14ac:dyDescent="0.25">
      <c r="B35" s="10" t="s">
        <v>6</v>
      </c>
      <c r="C35" s="24" t="s">
        <v>43</v>
      </c>
      <c r="D35" s="25">
        <v>1180</v>
      </c>
      <c r="E35" s="26">
        <f>24.01+20.92</f>
        <v>44.930000000000007</v>
      </c>
      <c r="F35" s="27">
        <f>E35/$E$47</f>
        <v>3.3604331989558957E-2</v>
      </c>
      <c r="G35" s="47">
        <f>SUM(E36:E$46)/$E$47</f>
        <v>0.96639566801044086</v>
      </c>
      <c r="J35" s="30"/>
      <c r="K35" s="30"/>
      <c r="L35" s="30"/>
      <c r="M35" s="30"/>
      <c r="N35" s="30"/>
      <c r="O35" s="30"/>
    </row>
    <row r="36" spans="2:23" x14ac:dyDescent="0.25">
      <c r="B36" s="29" t="s">
        <v>44</v>
      </c>
      <c r="C36" s="25" t="s">
        <v>45</v>
      </c>
      <c r="D36" s="25">
        <v>600</v>
      </c>
      <c r="E36" s="26">
        <f>103.66+87.53</f>
        <v>191.19</v>
      </c>
      <c r="F36" s="27">
        <f>E36/$E$47</f>
        <v>0.14299604346948086</v>
      </c>
      <c r="G36" s="47">
        <f>SUM(E37:E$46)/$E$47</f>
        <v>0.82339962454096005</v>
      </c>
    </row>
    <row r="37" spans="2:23" x14ac:dyDescent="0.25">
      <c r="B37" s="31">
        <f>FORECAST(0.8,D36:D37,G36:G37)</f>
        <v>578.51910703075987</v>
      </c>
      <c r="C37" s="25" t="s">
        <v>46</v>
      </c>
      <c r="D37" s="25">
        <v>425</v>
      </c>
      <c r="E37" s="26">
        <f>139.88+115</f>
        <v>254.88</v>
      </c>
      <c r="F37" s="27">
        <f t="shared" ref="F37:F47" si="3">E37/$E$47</f>
        <v>0.19063147423767604</v>
      </c>
      <c r="G37" s="47">
        <f>SUM(E38:E$46)/$E$47</f>
        <v>0.63276815030328415</v>
      </c>
      <c r="J37" s="30"/>
    </row>
    <row r="38" spans="2:23" x14ac:dyDescent="0.25">
      <c r="B38" s="32"/>
      <c r="C38" s="25" t="s">
        <v>47</v>
      </c>
      <c r="D38" s="25">
        <v>300</v>
      </c>
      <c r="E38" s="26">
        <f>192.81+173.38</f>
        <v>366.19</v>
      </c>
      <c r="F38" s="27">
        <f t="shared" si="3"/>
        <v>0.27388315894183379</v>
      </c>
      <c r="G38" s="47">
        <f>SUM(E39:E$46)/$E$47</f>
        <v>0.35888499136145041</v>
      </c>
      <c r="H38" s="30"/>
      <c r="J38" s="48">
        <f>SUM($F$21:F24)</f>
        <v>0.35288947711269425</v>
      </c>
      <c r="K38" s="48">
        <f>1-J38</f>
        <v>0.64711052288730575</v>
      </c>
      <c r="L38" s="48">
        <f>SUM($F$35:F38)</f>
        <v>0.64111500863854964</v>
      </c>
      <c r="M38" s="48">
        <v>1</v>
      </c>
      <c r="N38" s="20">
        <f>+(L38-J38)/(L38+M38-1)</f>
        <v>0.44956915318192525</v>
      </c>
      <c r="O38" s="49">
        <f>1-N38</f>
        <v>0.55043084681807475</v>
      </c>
      <c r="P38" s="20">
        <f>+N38*M38/K38</f>
        <v>0.69473318278926777</v>
      </c>
      <c r="Q38" s="20">
        <f>+O38*L38/J38</f>
        <v>0.99999999999999989</v>
      </c>
      <c r="R38" s="50">
        <f t="shared" ref="R38:R45" si="4">+N38*M38+O38*L38</f>
        <v>0.8024586302946195</v>
      </c>
      <c r="S38" s="50"/>
    </row>
    <row r="39" spans="2:23" x14ac:dyDescent="0.25">
      <c r="B39" s="32"/>
      <c r="C39" s="33" t="s">
        <v>48</v>
      </c>
      <c r="D39" s="34">
        <v>212</v>
      </c>
      <c r="E39" s="51">
        <f>114.07+98.79</f>
        <v>212.86</v>
      </c>
      <c r="F39" s="27">
        <f t="shared" si="3"/>
        <v>0.15920360799682881</v>
      </c>
      <c r="G39" s="47">
        <f>SUM(E40:E$46)/$E$47</f>
        <v>0.1996813833646216</v>
      </c>
      <c r="H39" s="36">
        <f>SUM(F40:F46)*100</f>
        <v>19.968138336462157</v>
      </c>
      <c r="I39" s="52">
        <f>($I$194-H39)/($I$194*(100-H39))*10000</f>
        <v>75.491103163159934</v>
      </c>
      <c r="J39" s="48">
        <f>SUM($F$21:F25)</f>
        <v>0.49553834541374997</v>
      </c>
      <c r="K39" s="48">
        <f t="shared" ref="K39:K44" si="5">1-J39</f>
        <v>0.50446165458625003</v>
      </c>
      <c r="L39" s="48">
        <f>SUM($F$35:F39)</f>
        <v>0.8003186166353784</v>
      </c>
      <c r="M39" s="53">
        <v>0.87239999999999995</v>
      </c>
      <c r="N39" s="20">
        <f t="shared" ref="N39:N45" si="6">+(L39-J39)/(L39+M39-1)</f>
        <v>0.45305758408470354</v>
      </c>
      <c r="O39" s="49">
        <f t="shared" ref="O39:O45" si="7">1-N39</f>
        <v>0.54694241591529646</v>
      </c>
      <c r="P39" s="20">
        <f t="shared" ref="P39:P44" si="8">+N39*M39/K39</f>
        <v>0.78350342937298156</v>
      </c>
      <c r="Q39" s="20">
        <f t="shared" ref="Q39:Q44" si="9">+O39*L39/J39</f>
        <v>0.88333869969045586</v>
      </c>
      <c r="R39" s="50">
        <f>+N39*M39+O39*L39</f>
        <v>0.83297563404003716</v>
      </c>
      <c r="S39" s="50"/>
    </row>
    <row r="40" spans="2:23" x14ac:dyDescent="0.25">
      <c r="B40" s="32"/>
      <c r="C40" s="33" t="s">
        <v>49</v>
      </c>
      <c r="D40" s="34">
        <v>180</v>
      </c>
      <c r="E40" s="51">
        <f>14.49+13.13</f>
        <v>27.62</v>
      </c>
      <c r="F40" s="27">
        <f t="shared" si="3"/>
        <v>2.0657726453407927E-2</v>
      </c>
      <c r="G40" s="47">
        <f>SUM(E41:E$46)/$E$47</f>
        <v>0.17902365691121366</v>
      </c>
      <c r="J40" s="48">
        <f>SUM($F$21:F26)</f>
        <v>0.53418878537528569</v>
      </c>
      <c r="K40" s="48">
        <f t="shared" si="5"/>
        <v>0.46581121462471431</v>
      </c>
      <c r="L40" s="48">
        <f>SUM($F$35:F40)</f>
        <v>0.82097634308878631</v>
      </c>
      <c r="M40" s="48">
        <v>1</v>
      </c>
      <c r="N40" s="20">
        <f t="shared" si="6"/>
        <v>0.34932499593655814</v>
      </c>
      <c r="O40" s="49">
        <f t="shared" si="7"/>
        <v>0.65067500406344192</v>
      </c>
      <c r="P40" s="20">
        <f t="shared" si="8"/>
        <v>0.74992826486153941</v>
      </c>
      <c r="Q40" s="20">
        <f t="shared" si="9"/>
        <v>1</v>
      </c>
      <c r="R40" s="50">
        <f t="shared" si="4"/>
        <v>0.88351378131184388</v>
      </c>
      <c r="S40" s="50"/>
    </row>
    <row r="41" spans="2:23" x14ac:dyDescent="0.25">
      <c r="B41" s="32"/>
      <c r="C41" s="33" t="s">
        <v>50</v>
      </c>
      <c r="D41" s="34">
        <v>150</v>
      </c>
      <c r="E41" s="35">
        <f>15.71+16.03</f>
        <v>31.740000000000002</v>
      </c>
      <c r="F41" s="27">
        <f t="shared" si="3"/>
        <v>2.373918311481418E-2</v>
      </c>
      <c r="G41" s="47">
        <f>SUM(E42:E$46)/$E$47</f>
        <v>0.15528447379639948</v>
      </c>
      <c r="J41" s="48">
        <f>SUM($F$21:F27)</f>
        <v>0.59205070673022242</v>
      </c>
      <c r="K41" s="48">
        <f t="shared" si="5"/>
        <v>0.40794929326977758</v>
      </c>
      <c r="L41" s="48">
        <f>SUM($F$35:F41)</f>
        <v>0.84471552620360046</v>
      </c>
      <c r="M41" s="48">
        <v>1</v>
      </c>
      <c r="N41" s="20">
        <f t="shared" si="6"/>
        <v>0.29911231844989034</v>
      </c>
      <c r="O41" s="49">
        <f t="shared" si="7"/>
        <v>0.70088768155010972</v>
      </c>
      <c r="P41" s="20">
        <f t="shared" si="8"/>
        <v>0.7332095517373205</v>
      </c>
      <c r="Q41" s="20">
        <f t="shared" si="9"/>
        <v>1.0000000000000002</v>
      </c>
      <c r="R41" s="50">
        <f t="shared" si="4"/>
        <v>0.89116302518011281</v>
      </c>
      <c r="S41" s="50"/>
    </row>
    <row r="42" spans="2:23" x14ac:dyDescent="0.25">
      <c r="B42" s="32"/>
      <c r="C42" s="33" t="s">
        <v>51</v>
      </c>
      <c r="D42" s="34">
        <v>106</v>
      </c>
      <c r="E42" s="35">
        <f>18.53+18.33</f>
        <v>36.86</v>
      </c>
      <c r="F42" s="27">
        <f t="shared" si="3"/>
        <v>2.756856615034816E-2</v>
      </c>
      <c r="G42" s="47">
        <f>SUM(E43:E$46)/$E$47</f>
        <v>0.12771590764605131</v>
      </c>
      <c r="J42" s="48">
        <f>SUM($F$21:F28)</f>
        <v>0.67625862086792887</v>
      </c>
      <c r="K42" s="48">
        <f t="shared" si="5"/>
        <v>0.32374137913207113</v>
      </c>
      <c r="L42" s="48">
        <f>SUM($F$35:F42)</f>
        <v>0.87228409235394866</v>
      </c>
      <c r="M42" s="48">
        <v>1</v>
      </c>
      <c r="N42" s="20">
        <f t="shared" si="6"/>
        <v>0.22472663803489165</v>
      </c>
      <c r="O42" s="49">
        <f t="shared" si="7"/>
        <v>0.77527336196510832</v>
      </c>
      <c r="P42" s="20">
        <f t="shared" si="8"/>
        <v>0.69415481776647969</v>
      </c>
      <c r="Q42" s="20">
        <f t="shared" si="9"/>
        <v>0.99999999999999989</v>
      </c>
      <c r="R42" s="50">
        <f t="shared" si="4"/>
        <v>0.90098525890282044</v>
      </c>
      <c r="S42" s="50"/>
    </row>
    <row r="43" spans="2:23" x14ac:dyDescent="0.25">
      <c r="B43" s="32"/>
      <c r="C43" s="33" t="s">
        <v>52</v>
      </c>
      <c r="D43" s="34">
        <v>75</v>
      </c>
      <c r="E43" s="35">
        <f>12.33+13.54</f>
        <v>25.869999999999997</v>
      </c>
      <c r="F43" s="27">
        <f t="shared" si="3"/>
        <v>1.9348855298684395E-2</v>
      </c>
      <c r="G43" s="47">
        <f>SUM(E44:E$46)/$E$47</f>
        <v>0.10836705234736692</v>
      </c>
      <c r="J43" s="48">
        <f>SUM($F$21:F29)</f>
        <v>0.73337607146919237</v>
      </c>
      <c r="K43" s="48">
        <f t="shared" si="5"/>
        <v>0.26662392853080763</v>
      </c>
      <c r="L43" s="48">
        <f>SUM($F$35:F43)</f>
        <v>0.89163294765263301</v>
      </c>
      <c r="M43" s="48">
        <v>1</v>
      </c>
      <c r="N43" s="20">
        <f t="shared" si="6"/>
        <v>0.17749105907321763</v>
      </c>
      <c r="O43" s="49">
        <f t="shared" si="7"/>
        <v>0.82250894092678239</v>
      </c>
      <c r="P43" s="20">
        <f t="shared" si="8"/>
        <v>0.66569816164384155</v>
      </c>
      <c r="Q43" s="20">
        <f t="shared" si="9"/>
        <v>1</v>
      </c>
      <c r="R43" s="50">
        <f t="shared" si="4"/>
        <v>0.91086713054240998</v>
      </c>
      <c r="S43" s="50"/>
    </row>
    <row r="44" spans="2:23" x14ac:dyDescent="0.25">
      <c r="B44" s="32"/>
      <c r="C44" s="33" t="s">
        <v>53</v>
      </c>
      <c r="D44" s="34">
        <v>53</v>
      </c>
      <c r="E44" s="35">
        <f>9.92+11.86</f>
        <v>21.78</v>
      </c>
      <c r="F44" s="27">
        <f t="shared" si="3"/>
        <v>1.6289836428501979E-2</v>
      </c>
      <c r="G44" s="47">
        <f>SUM(E45:E$46)/$E$47</f>
        <v>9.2077215918864946E-2</v>
      </c>
      <c r="J44" s="48">
        <f>SUM($F$21:F30)</f>
        <v>0.78107389906217373</v>
      </c>
      <c r="K44" s="48">
        <f t="shared" si="5"/>
        <v>0.21892610093782627</v>
      </c>
      <c r="L44" s="48">
        <f>SUM($F$35:F44)</f>
        <v>0.90792278408113503</v>
      </c>
      <c r="M44" s="48">
        <v>1</v>
      </c>
      <c r="N44" s="20">
        <f t="shared" si="6"/>
        <v>0.13971329637612184</v>
      </c>
      <c r="O44" s="49">
        <f t="shared" si="7"/>
        <v>0.86028670362387816</v>
      </c>
      <c r="P44" s="20">
        <f t="shared" si="8"/>
        <v>0.63817560253265371</v>
      </c>
      <c r="Q44" s="20">
        <f t="shared" si="9"/>
        <v>1</v>
      </c>
      <c r="R44" s="50">
        <f t="shared" si="4"/>
        <v>0.92078719543829557</v>
      </c>
      <c r="S44" s="50"/>
    </row>
    <row r="45" spans="2:23" x14ac:dyDescent="0.25">
      <c r="B45" s="32"/>
      <c r="C45" s="33" t="s">
        <v>54</v>
      </c>
      <c r="D45" s="34">
        <v>38</v>
      </c>
      <c r="E45" s="35">
        <f>6.73+10.44</f>
        <v>17.170000000000002</v>
      </c>
      <c r="F45" s="27">
        <f t="shared" si="3"/>
        <v>1.2841895843773141E-2</v>
      </c>
      <c r="G45" s="47">
        <f>SUM(E46:E$46)/$E$47</f>
        <v>7.9235320075091806E-2</v>
      </c>
      <c r="J45" s="48">
        <f>SUM($F$21:F31)</f>
        <v>0.821409738091053</v>
      </c>
      <c r="K45" s="48">
        <f>1-J45</f>
        <v>0.178590261908947</v>
      </c>
      <c r="L45" s="48">
        <f>SUM($F$35:F45)</f>
        <v>0.92076467992490818</v>
      </c>
      <c r="M45" s="53">
        <v>0.3</v>
      </c>
      <c r="N45" s="20">
        <f t="shared" si="6"/>
        <v>0.45004908333910215</v>
      </c>
      <c r="O45" s="49">
        <f t="shared" si="7"/>
        <v>0.54995091666089779</v>
      </c>
      <c r="P45" s="20">
        <f>+N45*M45/K45</f>
        <v>0.75600272690437598</v>
      </c>
      <c r="Q45" s="20">
        <f>+O45*L45/J45</f>
        <v>0.61647111821499967</v>
      </c>
      <c r="R45" s="50">
        <f t="shared" si="4"/>
        <v>0.64139010475541203</v>
      </c>
      <c r="S45" s="50"/>
      <c r="T45" s="48">
        <f>SUM($F$21:$F$31)</f>
        <v>0.821409738091053</v>
      </c>
      <c r="U45" s="48">
        <f>SUM(F35:F45)</f>
        <v>0.92076467992490818</v>
      </c>
      <c r="V45" s="20">
        <v>0.7</v>
      </c>
      <c r="W45" s="20">
        <f>U45*(T45-V45)*(1-V45)*(U45-T45)/T45/(U45-V45)^2/(1-T45)</f>
        <v>0.46605384642832975</v>
      </c>
    </row>
    <row r="46" spans="2:23" x14ac:dyDescent="0.25">
      <c r="B46" s="37"/>
      <c r="C46" s="38">
        <v>-38</v>
      </c>
      <c r="D46" s="39"/>
      <c r="E46" s="40">
        <f>102.74+3.2</f>
        <v>105.94</v>
      </c>
      <c r="F46" s="54">
        <f>E46/$E$47</f>
        <v>7.9235320075091806E-2</v>
      </c>
      <c r="G46" s="41"/>
    </row>
    <row r="47" spans="2:23" ht="15.75" thickBot="1" x14ac:dyDescent="0.3">
      <c r="B47" s="42"/>
      <c r="C47" s="43" t="s">
        <v>55</v>
      </c>
      <c r="D47" s="44"/>
      <c r="E47" s="45">
        <f>SUM(E35:E46)</f>
        <v>1337.03</v>
      </c>
      <c r="F47" s="55">
        <f t="shared" si="3"/>
        <v>1</v>
      </c>
      <c r="G47" s="45"/>
    </row>
    <row r="48" spans="2:23" ht="30.75" thickBot="1" x14ac:dyDescent="0.3">
      <c r="B48" s="21" t="s">
        <v>23</v>
      </c>
      <c r="C48" s="173" t="s">
        <v>24</v>
      </c>
      <c r="D48" s="174"/>
      <c r="E48" s="22" t="s">
        <v>25</v>
      </c>
      <c r="F48" s="23" t="s">
        <v>26</v>
      </c>
      <c r="G48" s="22" t="s">
        <v>27</v>
      </c>
    </row>
    <row r="49" spans="2:23" ht="38.25" thickTop="1" x14ac:dyDescent="0.25">
      <c r="B49" s="10" t="s">
        <v>7</v>
      </c>
      <c r="C49" s="24" t="s">
        <v>43</v>
      </c>
      <c r="D49" s="25">
        <v>1180</v>
      </c>
      <c r="E49" s="26">
        <f>34.91+27.24</f>
        <v>62.149999999999991</v>
      </c>
      <c r="F49" s="27">
        <f>E49/$E$61</f>
        <v>3.910649677520843E-2</v>
      </c>
      <c r="G49" s="28">
        <f>SUM(E50:E$60)/$E$61</f>
        <v>0.9608935032247915</v>
      </c>
    </row>
    <row r="50" spans="2:23" x14ac:dyDescent="0.25">
      <c r="B50" s="29" t="s">
        <v>44</v>
      </c>
      <c r="C50" s="25" t="s">
        <v>45</v>
      </c>
      <c r="D50" s="25">
        <v>600</v>
      </c>
      <c r="E50" s="26">
        <f>150.72+112.82</f>
        <v>263.53999999999996</v>
      </c>
      <c r="F50" s="27">
        <f t="shared" ref="F50:F61" si="10">E50/$E$61</f>
        <v>0.16582664778983794</v>
      </c>
      <c r="G50" s="28">
        <f>SUM(E51:E$60)/$E$61</f>
        <v>0.7950668554349537</v>
      </c>
    </row>
    <row r="51" spans="2:23" x14ac:dyDescent="0.25">
      <c r="B51" s="31">
        <f>FORECAST(0.8,D49:D50,G49:G50)</f>
        <v>617.25430674660356</v>
      </c>
      <c r="C51" s="25" t="s">
        <v>46</v>
      </c>
      <c r="D51" s="25">
        <v>425</v>
      </c>
      <c r="E51" s="26">
        <f>197.9+152.98</f>
        <v>350.88</v>
      </c>
      <c r="F51" s="27">
        <f t="shared" si="10"/>
        <v>0.22078338839075035</v>
      </c>
      <c r="G51" s="28">
        <f>SUM(E52:E$60)/$E$61</f>
        <v>0.57428346704420319</v>
      </c>
    </row>
    <row r="52" spans="2:23" x14ac:dyDescent="0.25">
      <c r="B52" s="32"/>
      <c r="C52" s="25" t="s">
        <v>47</v>
      </c>
      <c r="D52" s="25">
        <v>300</v>
      </c>
      <c r="E52" s="26">
        <f>243.78+177.86</f>
        <v>421.64</v>
      </c>
      <c r="F52" s="27">
        <f t="shared" si="10"/>
        <v>0.26530753500078652</v>
      </c>
      <c r="G52" s="28">
        <f>SUM(E53:E$60)/$E$61</f>
        <v>0.30897593204341667</v>
      </c>
      <c r="H52" s="30"/>
      <c r="J52" s="48">
        <f>J38</f>
        <v>0.35288947711269425</v>
      </c>
      <c r="K52" s="48">
        <f>1-J52</f>
        <v>0.64711052288730575</v>
      </c>
      <c r="L52" s="48">
        <f>SUM($F$49:F52)</f>
        <v>0.69102406795658322</v>
      </c>
      <c r="M52" s="48">
        <v>1</v>
      </c>
      <c r="N52" s="20">
        <f>+(L52-J52)/(L52+M52-1)</f>
        <v>0.48932389843349694</v>
      </c>
      <c r="O52" s="49">
        <f>1-N52</f>
        <v>0.51067610156650312</v>
      </c>
      <c r="P52" s="20">
        <f>+N52*M52/K52</f>
        <v>0.75616742600662767</v>
      </c>
      <c r="Q52" s="20">
        <f>+O52*L52/J52</f>
        <v>1</v>
      </c>
      <c r="R52" s="50">
        <f>+N52*M52+O52*L52</f>
        <v>0.84221337554619113</v>
      </c>
      <c r="S52" s="50"/>
    </row>
    <row r="53" spans="2:23" x14ac:dyDescent="0.25">
      <c r="B53" s="32"/>
      <c r="C53" s="33" t="s">
        <v>48</v>
      </c>
      <c r="D53" s="34">
        <v>212</v>
      </c>
      <c r="E53" s="35">
        <f>117.3+93.59</f>
        <v>210.89</v>
      </c>
      <c r="F53" s="27">
        <f t="shared" si="10"/>
        <v>0.13269781343400974</v>
      </c>
      <c r="G53" s="28">
        <f>SUM(E54:E$60)/$E$61</f>
        <v>0.17627811860940693</v>
      </c>
      <c r="H53" s="36">
        <f>SUM(F54:F60)*100</f>
        <v>17.627811860940696</v>
      </c>
      <c r="I53" s="30">
        <f>($I$194-H53)/($I$194*(100-H53))*10000</f>
        <v>78.978344708301208</v>
      </c>
      <c r="J53" s="48">
        <f>J39</f>
        <v>0.49553834541374997</v>
      </c>
      <c r="K53" s="48">
        <f t="shared" ref="K53:K59" si="11">1-J53</f>
        <v>0.50446165458625003</v>
      </c>
      <c r="L53" s="48">
        <f>SUM($F$49:F53)</f>
        <v>0.82372188139059299</v>
      </c>
      <c r="M53" s="53">
        <v>0.87239999999999995</v>
      </c>
      <c r="N53" s="20">
        <f t="shared" ref="N53:N59" si="12">+(L53-J53)/(L53+M53-1)</f>
        <v>0.47144551083677216</v>
      </c>
      <c r="O53" s="49">
        <f t="shared" ref="O53:O59" si="13">1-N53</f>
        <v>0.52855448916322789</v>
      </c>
      <c r="P53" s="20">
        <f t="shared" ref="P53:P59" si="14">+N53*M53/K53</f>
        <v>0.81530292721917896</v>
      </c>
      <c r="Q53" s="20">
        <f t="shared" ref="Q53:Q59" si="15">+O53*L53/J53</f>
        <v>0.87860385025795651</v>
      </c>
      <c r="R53" s="50">
        <f t="shared" ref="R53:R59" si="16">+N53*M53+O53*L53</f>
        <v>0.84667096188497792</v>
      </c>
      <c r="S53" s="50"/>
    </row>
    <row r="54" spans="2:23" x14ac:dyDescent="0.25">
      <c r="B54" s="32"/>
      <c r="C54" s="33" t="s">
        <v>49</v>
      </c>
      <c r="D54" s="34">
        <v>180</v>
      </c>
      <c r="E54" s="35">
        <f>16.84+13.95</f>
        <v>30.79</v>
      </c>
      <c r="F54" s="27">
        <f t="shared" si="10"/>
        <v>1.937391851502281E-2</v>
      </c>
      <c r="G54" s="28">
        <f>SUM(E55:E$60)/$E$61</f>
        <v>0.15690420009438416</v>
      </c>
      <c r="J54" s="48">
        <f t="shared" ref="J54:J59" si="17">J40</f>
        <v>0.53418878537528569</v>
      </c>
      <c r="K54" s="48">
        <f t="shared" si="11"/>
        <v>0.46581121462471431</v>
      </c>
      <c r="L54" s="48">
        <f>SUM($F$49:F54)</f>
        <v>0.84309579990561578</v>
      </c>
      <c r="M54" s="48">
        <v>1</v>
      </c>
      <c r="N54" s="20">
        <f t="shared" si="12"/>
        <v>0.36639610180113819</v>
      </c>
      <c r="O54" s="49">
        <f t="shared" si="13"/>
        <v>0.63360389819886187</v>
      </c>
      <c r="P54" s="20">
        <f t="shared" si="14"/>
        <v>0.786576386093085</v>
      </c>
      <c r="Q54" s="20">
        <f t="shared" si="15"/>
        <v>1.0000000000000002</v>
      </c>
      <c r="R54" s="50">
        <f t="shared" si="16"/>
        <v>0.90058488717642393</v>
      </c>
      <c r="S54" s="50"/>
    </row>
    <row r="55" spans="2:23" x14ac:dyDescent="0.25">
      <c r="B55" s="32"/>
      <c r="C55" s="33" t="s">
        <v>50</v>
      </c>
      <c r="D55" s="34">
        <v>150</v>
      </c>
      <c r="E55" s="35">
        <f>19.66+15.13</f>
        <v>34.79</v>
      </c>
      <c r="F55" s="27">
        <f t="shared" si="10"/>
        <v>2.1890829007393423E-2</v>
      </c>
      <c r="G55" s="28">
        <f>SUM(E56:E$60)/$E$61</f>
        <v>0.13501337108699071</v>
      </c>
      <c r="J55" s="48">
        <f t="shared" si="17"/>
        <v>0.59205070673022242</v>
      </c>
      <c r="K55" s="48">
        <f t="shared" si="11"/>
        <v>0.40794929326977758</v>
      </c>
      <c r="L55" s="48">
        <f>SUM($F$49:F55)</f>
        <v>0.86498662891300926</v>
      </c>
      <c r="M55" s="48">
        <v>1</v>
      </c>
      <c r="N55" s="20">
        <f t="shared" si="12"/>
        <v>0.31553773556681847</v>
      </c>
      <c r="O55" s="49">
        <f t="shared" si="13"/>
        <v>0.68446226443318148</v>
      </c>
      <c r="P55" s="20">
        <f t="shared" si="14"/>
        <v>0.77347293100506198</v>
      </c>
      <c r="Q55" s="20">
        <f t="shared" si="15"/>
        <v>0.99999999999999978</v>
      </c>
      <c r="R55" s="50">
        <f t="shared" si="16"/>
        <v>0.90758844229704083</v>
      </c>
      <c r="S55" s="50"/>
    </row>
    <row r="56" spans="2:23" x14ac:dyDescent="0.25">
      <c r="B56" s="32"/>
      <c r="C56" s="33" t="s">
        <v>51</v>
      </c>
      <c r="D56" s="34">
        <v>106</v>
      </c>
      <c r="E56" s="35">
        <f>23.24+23.19</f>
        <v>46.43</v>
      </c>
      <c r="F56" s="27">
        <f t="shared" si="10"/>
        <v>2.9215038540191914E-2</v>
      </c>
      <c r="G56" s="28">
        <f>SUM(E57:E$60)/$E$61</f>
        <v>0.1057983325467988</v>
      </c>
      <c r="J56" s="48">
        <f t="shared" si="17"/>
        <v>0.67625862086792887</v>
      </c>
      <c r="K56" s="48">
        <f t="shared" si="11"/>
        <v>0.32374137913207113</v>
      </c>
      <c r="L56" s="48">
        <f>SUM($F$49:F56)</f>
        <v>0.89420166745320118</v>
      </c>
      <c r="M56" s="48">
        <v>1</v>
      </c>
      <c r="N56" s="20">
        <f t="shared" si="12"/>
        <v>0.24372918830044404</v>
      </c>
      <c r="O56" s="49">
        <f t="shared" si="13"/>
        <v>0.75627081169955601</v>
      </c>
      <c r="P56" s="20">
        <f t="shared" si="14"/>
        <v>0.75285151670714945</v>
      </c>
      <c r="Q56" s="20">
        <f t="shared" si="15"/>
        <v>1</v>
      </c>
      <c r="R56" s="50">
        <f t="shared" si="16"/>
        <v>0.91998780916837286</v>
      </c>
      <c r="S56" s="50"/>
    </row>
    <row r="57" spans="2:23" x14ac:dyDescent="0.25">
      <c r="B57" s="32"/>
      <c r="C57" s="33" t="s">
        <v>52</v>
      </c>
      <c r="D57" s="34">
        <v>75</v>
      </c>
      <c r="E57" s="35">
        <f>12.81+15.46</f>
        <v>28.270000000000003</v>
      </c>
      <c r="F57" s="27">
        <f t="shared" si="10"/>
        <v>1.7788264904829324E-2</v>
      </c>
      <c r="G57" s="28">
        <f>SUM(E58:E$60)/$E$61</f>
        <v>8.8010067641969489E-2</v>
      </c>
      <c r="J57" s="48">
        <f t="shared" si="17"/>
        <v>0.73337607146919237</v>
      </c>
      <c r="K57" s="48">
        <f t="shared" si="11"/>
        <v>0.26662392853080763</v>
      </c>
      <c r="L57" s="48">
        <f>SUM($F$49:F57)</f>
        <v>0.9119899323580305</v>
      </c>
      <c r="M57" s="48">
        <v>1</v>
      </c>
      <c r="N57" s="20">
        <f t="shared" si="12"/>
        <v>0.19585069368805005</v>
      </c>
      <c r="O57" s="49">
        <f t="shared" si="13"/>
        <v>0.80414930631194992</v>
      </c>
      <c r="P57" s="20">
        <f t="shared" si="14"/>
        <v>0.73455782745103493</v>
      </c>
      <c r="Q57" s="20">
        <f t="shared" si="15"/>
        <v>1</v>
      </c>
      <c r="R57" s="50">
        <f t="shared" si="16"/>
        <v>0.92922676515724245</v>
      </c>
      <c r="S57" s="50"/>
    </row>
    <row r="58" spans="2:23" x14ac:dyDescent="0.25">
      <c r="B58" s="32"/>
      <c r="C58" s="33" t="s">
        <v>53</v>
      </c>
      <c r="D58" s="34">
        <v>53</v>
      </c>
      <c r="E58" s="35">
        <f>8.41+13</f>
        <v>21.41</v>
      </c>
      <c r="F58" s="27">
        <f t="shared" si="10"/>
        <v>1.3471763410413718E-2</v>
      </c>
      <c r="G58" s="28">
        <f>SUM(E59:E$60)/$E$61</f>
        <v>7.4538304231555774E-2</v>
      </c>
      <c r="J58" s="48">
        <f t="shared" si="17"/>
        <v>0.78107389906217373</v>
      </c>
      <c r="K58" s="48">
        <f t="shared" si="11"/>
        <v>0.21892610093782627</v>
      </c>
      <c r="L58" s="48">
        <f>SUM($F$49:F58)</f>
        <v>0.92546169576844417</v>
      </c>
      <c r="M58" s="48">
        <v>1</v>
      </c>
      <c r="N58" s="20">
        <f t="shared" si="12"/>
        <v>0.15601704248427059</v>
      </c>
      <c r="O58" s="49">
        <f t="shared" si="13"/>
        <v>0.84398295751572938</v>
      </c>
      <c r="P58" s="20">
        <f t="shared" si="14"/>
        <v>0.71264706134139078</v>
      </c>
      <c r="Q58" s="20">
        <f t="shared" si="15"/>
        <v>1</v>
      </c>
      <c r="R58" s="50">
        <f t="shared" si="16"/>
        <v>0.93709094154644434</v>
      </c>
      <c r="S58" s="50"/>
    </row>
    <row r="59" spans="2:23" x14ac:dyDescent="0.25">
      <c r="B59" s="32"/>
      <c r="C59" s="33" t="s">
        <v>54</v>
      </c>
      <c r="D59" s="34">
        <v>38</v>
      </c>
      <c r="E59" s="35">
        <f>6.32+10.56</f>
        <v>16.880000000000003</v>
      </c>
      <c r="F59" s="27">
        <f t="shared" si="10"/>
        <v>1.0621362277803997E-2</v>
      </c>
      <c r="G59" s="28">
        <f>SUM(E60:E$60)/$E$61</f>
        <v>6.3916941953751763E-2</v>
      </c>
      <c r="J59" s="48">
        <f t="shared" si="17"/>
        <v>0.821409738091053</v>
      </c>
      <c r="K59" s="48">
        <f t="shared" si="11"/>
        <v>0.178590261908947</v>
      </c>
      <c r="L59" s="48">
        <f>SUM($F$49:F59)</f>
        <v>0.93608305804624814</v>
      </c>
      <c r="M59" s="53">
        <v>0.3</v>
      </c>
      <c r="N59" s="20">
        <f t="shared" si="12"/>
        <v>0.48573294883672224</v>
      </c>
      <c r="O59" s="49">
        <f t="shared" si="13"/>
        <v>0.51426705116327776</v>
      </c>
      <c r="P59" s="20">
        <f t="shared" si="14"/>
        <v>0.81594529899570301</v>
      </c>
      <c r="Q59" s="20">
        <f t="shared" si="15"/>
        <v>0.586061561705012</v>
      </c>
      <c r="R59" s="50">
        <f t="shared" si="16"/>
        <v>0.62711655855636406</v>
      </c>
      <c r="S59" s="50"/>
      <c r="T59" s="48">
        <f>SUM($F$21:$F$31)</f>
        <v>0.821409738091053</v>
      </c>
      <c r="U59" s="48">
        <f>SUM(F49:F59)</f>
        <v>0.93608305804624814</v>
      </c>
      <c r="V59" s="20">
        <v>0.7</v>
      </c>
      <c r="W59" s="20">
        <f>U59*(T59-V59)*(1-V59)*(U59-T59)/T59/(U59-V59)^2/(1-T59)</f>
        <v>0.4781941761952847</v>
      </c>
    </row>
    <row r="60" spans="2:23" x14ac:dyDescent="0.25">
      <c r="B60" s="37"/>
      <c r="C60" s="38">
        <v>-38</v>
      </c>
      <c r="D60" s="39"/>
      <c r="E60" s="40">
        <f>97.55+4.03</f>
        <v>101.58</v>
      </c>
      <c r="F60" s="27">
        <f>E60/$E$61</f>
        <v>6.3916941953751763E-2</v>
      </c>
      <c r="G60" s="41"/>
      <c r="M60" s="48"/>
    </row>
    <row r="61" spans="2:23" ht="15.75" thickBot="1" x14ac:dyDescent="0.3">
      <c r="B61" s="42"/>
      <c r="C61" s="43" t="s">
        <v>55</v>
      </c>
      <c r="D61" s="44"/>
      <c r="E61" s="45">
        <f>SUM(E49:E60)</f>
        <v>1589.25</v>
      </c>
      <c r="F61" s="27">
        <f t="shared" si="10"/>
        <v>1</v>
      </c>
      <c r="G61" s="45"/>
    </row>
    <row r="62" spans="2:23" ht="30.75" thickBot="1" x14ac:dyDescent="0.3">
      <c r="B62" s="21" t="s">
        <v>23</v>
      </c>
      <c r="C62" s="173" t="s">
        <v>24</v>
      </c>
      <c r="D62" s="174"/>
      <c r="E62" s="22" t="s">
        <v>25</v>
      </c>
      <c r="F62" s="23" t="s">
        <v>26</v>
      </c>
      <c r="G62" s="22" t="s">
        <v>27</v>
      </c>
    </row>
    <row r="63" spans="2:23" ht="38.25" thickTop="1" x14ac:dyDescent="0.25">
      <c r="B63" s="10" t="s">
        <v>8</v>
      </c>
      <c r="C63" s="24" t="s">
        <v>43</v>
      </c>
      <c r="D63" s="25">
        <v>1180</v>
      </c>
      <c r="E63" s="26">
        <f>28.64+33.1</f>
        <v>61.74</v>
      </c>
      <c r="F63" s="27">
        <f>E63/$E$75</f>
        <v>4.7579781290218177E-2</v>
      </c>
      <c r="G63" s="47">
        <f>SUM(E64:E$74)/$E$75</f>
        <v>0.95242021870978177</v>
      </c>
    </row>
    <row r="64" spans="2:23" x14ac:dyDescent="0.25">
      <c r="B64" s="29" t="s">
        <v>44</v>
      </c>
      <c r="C64" s="25" t="s">
        <v>45</v>
      </c>
      <c r="D64" s="25">
        <v>600</v>
      </c>
      <c r="E64" s="26">
        <f>104.39+122.3</f>
        <v>226.69</v>
      </c>
      <c r="F64" s="27">
        <f t="shared" ref="F64:F75" si="18">E64/$E$75</f>
        <v>0.17469809881243209</v>
      </c>
      <c r="G64" s="47">
        <f>SUM(E65:E$74)/$E$75</f>
        <v>0.77772211989734985</v>
      </c>
    </row>
    <row r="65" spans="2:23" x14ac:dyDescent="0.25">
      <c r="B65" s="31">
        <f>FORECAST(0.8,D63:D64,G63:G64)</f>
        <v>673.96285676474463</v>
      </c>
      <c r="C65" s="25" t="s">
        <v>46</v>
      </c>
      <c r="D65" s="25">
        <v>425</v>
      </c>
      <c r="E65" s="26">
        <f>128.59+142.8</f>
        <v>271.39</v>
      </c>
      <c r="F65" s="27">
        <f t="shared" si="18"/>
        <v>0.20914604542196807</v>
      </c>
      <c r="G65" s="47">
        <f>SUM(E66:E$74)/$E$75</f>
        <v>0.56857607447538172</v>
      </c>
    </row>
    <row r="66" spans="2:23" x14ac:dyDescent="0.25">
      <c r="B66" s="32"/>
      <c r="C66" s="25" t="s">
        <v>47</v>
      </c>
      <c r="D66" s="25">
        <v>300</v>
      </c>
      <c r="E66" s="26">
        <f>166.87+184.27</f>
        <v>351.14</v>
      </c>
      <c r="F66" s="27">
        <f t="shared" si="18"/>
        <v>0.27060518954077112</v>
      </c>
      <c r="G66" s="47">
        <f>SUM(E67:E$74)/$E$75</f>
        <v>0.29797088493461055</v>
      </c>
      <c r="H66" s="30"/>
      <c r="J66" s="48">
        <f>J52</f>
        <v>0.35288947711269425</v>
      </c>
      <c r="K66" s="48">
        <f>1-J66</f>
        <v>0.64711052288730575</v>
      </c>
      <c r="L66" s="48">
        <f>SUM($F$63:F66)</f>
        <v>0.70202911506538945</v>
      </c>
      <c r="M66" s="48">
        <v>1</v>
      </c>
      <c r="N66" s="20">
        <f>+(L66-J66)/(L66+M66-1)</f>
        <v>0.49732928515390007</v>
      </c>
      <c r="O66" s="49">
        <f>1-N66</f>
        <v>0.50267071484609993</v>
      </c>
      <c r="P66" s="20">
        <f>+N66*M66/K66</f>
        <v>0.76853839887334041</v>
      </c>
      <c r="Q66" s="20">
        <f>+O66*L66/J66</f>
        <v>1</v>
      </c>
      <c r="R66" s="50">
        <f>+N66*M66+O66*L66</f>
        <v>0.85021876226659432</v>
      </c>
      <c r="S66" s="50"/>
    </row>
    <row r="67" spans="2:23" x14ac:dyDescent="0.25">
      <c r="B67" s="32"/>
      <c r="C67" s="33" t="s">
        <v>48</v>
      </c>
      <c r="D67" s="34">
        <v>212</v>
      </c>
      <c r="E67" s="35">
        <f>84.57+93.04</f>
        <v>177.61</v>
      </c>
      <c r="F67" s="27">
        <f t="shared" si="18"/>
        <v>0.13687471582370669</v>
      </c>
      <c r="G67" s="47">
        <f>SUM(E68:E$74)/$E$75</f>
        <v>0.16109616911090391</v>
      </c>
      <c r="H67" s="36">
        <f>SUM(F68:F74)*100</f>
        <v>16.109616911090392</v>
      </c>
      <c r="I67" s="30">
        <f>($I$194-H67)/($I$194*(100-H67))*10000</f>
        <v>81.13650584896655</v>
      </c>
      <c r="J67" s="48">
        <f t="shared" ref="J67:J73" si="19">J53</f>
        <v>0.49553834541374997</v>
      </c>
      <c r="K67" s="48">
        <f t="shared" ref="K67:K73" si="20">1-J67</f>
        <v>0.50446165458625003</v>
      </c>
      <c r="L67" s="48">
        <f>SUM($F$63:F67)</f>
        <v>0.83890383088909615</v>
      </c>
      <c r="M67" s="53">
        <v>0.87239999999999995</v>
      </c>
      <c r="N67" s="20">
        <f t="shared" ref="N67:N73" si="21">+(L67-J67)/(L67+M67-1)</f>
        <v>0.48272688907939038</v>
      </c>
      <c r="O67" s="49">
        <f t="shared" ref="O67:O73" si="22">1-N67</f>
        <v>0.51727311092060968</v>
      </c>
      <c r="P67" s="20">
        <f t="shared" ref="P67:P73" si="23">+N67*M67/K67</f>
        <v>0.83481258526629498</v>
      </c>
      <c r="Q67" s="20">
        <f t="shared" ref="Q67:Q73" si="24">+O67*L67/J67</f>
        <v>0.8756989209480841</v>
      </c>
      <c r="R67" s="50">
        <f>+N67*M67+O67*L67</f>
        <v>0.85507333240007988</v>
      </c>
      <c r="S67" s="50"/>
    </row>
    <row r="68" spans="2:23" x14ac:dyDescent="0.25">
      <c r="B68" s="32"/>
      <c r="C68" s="33" t="s">
        <v>49</v>
      </c>
      <c r="D68" s="34">
        <v>180</v>
      </c>
      <c r="E68" s="35">
        <f>10.46+12.98</f>
        <v>23.44</v>
      </c>
      <c r="F68" s="27">
        <f t="shared" si="18"/>
        <v>1.8063979161689569E-2</v>
      </c>
      <c r="G68" s="47">
        <f>SUM(E69:E$74)/$E$75</f>
        <v>0.14303218994921432</v>
      </c>
      <c r="J68" s="48">
        <f t="shared" si="19"/>
        <v>0.53418878537528569</v>
      </c>
      <c r="K68" s="48">
        <f t="shared" si="20"/>
        <v>0.46581121462471431</v>
      </c>
      <c r="L68" s="48">
        <f>SUM($F$63:F68)</f>
        <v>0.85696781005078571</v>
      </c>
      <c r="M68" s="48">
        <v>1</v>
      </c>
      <c r="N68" s="20">
        <f t="shared" si="21"/>
        <v>0.37665244935672848</v>
      </c>
      <c r="O68" s="49">
        <f t="shared" si="22"/>
        <v>0.62334755064327152</v>
      </c>
      <c r="P68" s="20">
        <f t="shared" si="23"/>
        <v>0.80859463561902967</v>
      </c>
      <c r="Q68" s="20">
        <f t="shared" si="24"/>
        <v>0.99999999999999978</v>
      </c>
      <c r="R68" s="50">
        <f t="shared" ref="R68:R73" si="25">+N68*M68+O68*L68</f>
        <v>0.91084123473201406</v>
      </c>
      <c r="S68" s="50"/>
    </row>
    <row r="69" spans="2:23" x14ac:dyDescent="0.25">
      <c r="B69" s="32"/>
      <c r="C69" s="33" t="s">
        <v>50</v>
      </c>
      <c r="D69" s="34">
        <v>150</v>
      </c>
      <c r="E69" s="35">
        <f>10.65+14.05</f>
        <v>24.700000000000003</v>
      </c>
      <c r="F69" s="27">
        <f t="shared" si="18"/>
        <v>1.9034995106387901E-2</v>
      </c>
      <c r="G69" s="47">
        <f>SUM(E70:E$74)/$E$75</f>
        <v>0.12399719484282642</v>
      </c>
      <c r="J69" s="48">
        <f t="shared" si="19"/>
        <v>0.59205070673022242</v>
      </c>
      <c r="K69" s="48">
        <f t="shared" si="20"/>
        <v>0.40794929326977758</v>
      </c>
      <c r="L69" s="48">
        <f>SUM($F$63:F69)</f>
        <v>0.87600280515717366</v>
      </c>
      <c r="M69" s="48">
        <v>1</v>
      </c>
      <c r="N69" s="20">
        <f t="shared" si="21"/>
        <v>0.32414519309216616</v>
      </c>
      <c r="O69" s="49">
        <f t="shared" si="22"/>
        <v>0.67585480690783384</v>
      </c>
      <c r="P69" s="20">
        <f t="shared" si="23"/>
        <v>0.79457226287632854</v>
      </c>
      <c r="Q69" s="20">
        <f t="shared" si="24"/>
        <v>1</v>
      </c>
      <c r="R69" s="50">
        <f t="shared" si="25"/>
        <v>0.91619589982238858</v>
      </c>
      <c r="S69" s="50"/>
    </row>
    <row r="70" spans="2:23" x14ac:dyDescent="0.25">
      <c r="B70" s="32"/>
      <c r="C70" s="33" t="s">
        <v>51</v>
      </c>
      <c r="D70" s="34">
        <v>106</v>
      </c>
      <c r="E70" s="35">
        <f>11.1+17.16</f>
        <v>28.259999999999998</v>
      </c>
      <c r="F70" s="27">
        <f t="shared" si="18"/>
        <v>2.1778500473948258E-2</v>
      </c>
      <c r="G70" s="47">
        <f>SUM(E71:E$74)/$E$75</f>
        <v>0.10221869436887816</v>
      </c>
      <c r="J70" s="48">
        <f t="shared" si="19"/>
        <v>0.67625862086792887</v>
      </c>
      <c r="K70" s="48">
        <f t="shared" si="20"/>
        <v>0.32374137913207113</v>
      </c>
      <c r="L70" s="48">
        <f>SUM($F$63:F70)</f>
        <v>0.89778130563112191</v>
      </c>
      <c r="M70" s="48">
        <v>1</v>
      </c>
      <c r="N70" s="20">
        <f t="shared" si="21"/>
        <v>0.24674459511881583</v>
      </c>
      <c r="O70" s="49">
        <f t="shared" si="22"/>
        <v>0.75325540488118414</v>
      </c>
      <c r="P70" s="20">
        <f t="shared" si="23"/>
        <v>0.76216576262299707</v>
      </c>
      <c r="Q70" s="20">
        <f t="shared" si="24"/>
        <v>1</v>
      </c>
      <c r="R70" s="50">
        <f t="shared" si="25"/>
        <v>0.92300321598674473</v>
      </c>
      <c r="S70" s="50"/>
    </row>
    <row r="71" spans="2:23" x14ac:dyDescent="0.25">
      <c r="B71" s="32"/>
      <c r="C71" s="33" t="s">
        <v>52</v>
      </c>
      <c r="D71" s="34">
        <v>75</v>
      </c>
      <c r="E71" s="35">
        <f>6.18+12.21</f>
        <v>18.39</v>
      </c>
      <c r="F71" s="27">
        <f t="shared" si="18"/>
        <v>1.4172208907144676E-2</v>
      </c>
      <c r="G71" s="47">
        <f>SUM(E72:E$74)/$E$75</f>
        <v>8.8046485461733506E-2</v>
      </c>
      <c r="J71" s="48">
        <f t="shared" si="19"/>
        <v>0.73337607146919237</v>
      </c>
      <c r="K71" s="48">
        <f t="shared" si="20"/>
        <v>0.26662392853080763</v>
      </c>
      <c r="L71" s="48">
        <f>SUM($F$63:F71)</f>
        <v>0.91195351453826656</v>
      </c>
      <c r="M71" s="48">
        <v>1</v>
      </c>
      <c r="N71" s="20">
        <f t="shared" si="21"/>
        <v>0.19581858090594689</v>
      </c>
      <c r="O71" s="49">
        <f t="shared" si="22"/>
        <v>0.80418141909405305</v>
      </c>
      <c r="P71" s="20">
        <f t="shared" si="23"/>
        <v>0.73443738521511059</v>
      </c>
      <c r="Q71" s="20">
        <f t="shared" si="24"/>
        <v>1</v>
      </c>
      <c r="R71" s="50">
        <f t="shared" si="25"/>
        <v>0.92919465237513932</v>
      </c>
      <c r="S71" s="50"/>
    </row>
    <row r="72" spans="2:23" x14ac:dyDescent="0.25">
      <c r="B72" s="32"/>
      <c r="C72" s="33" t="s">
        <v>53</v>
      </c>
      <c r="D72" s="34">
        <v>53</v>
      </c>
      <c r="E72" s="35">
        <f>4.43+9.65</f>
        <v>14.08</v>
      </c>
      <c r="F72" s="27">
        <f t="shared" si="18"/>
        <v>1.085071785821626E-2</v>
      </c>
      <c r="G72" s="47">
        <f>SUM(E73:E$74)/$E$75</f>
        <v>7.7195767603517249E-2</v>
      </c>
      <c r="J72" s="48">
        <f t="shared" si="19"/>
        <v>0.78107389906217373</v>
      </c>
      <c r="K72" s="48">
        <f t="shared" si="20"/>
        <v>0.21892610093782627</v>
      </c>
      <c r="L72" s="48">
        <f>SUM($F$63:F72)</f>
        <v>0.92280423239648279</v>
      </c>
      <c r="M72" s="48">
        <v>1</v>
      </c>
      <c r="N72" s="20">
        <f t="shared" si="21"/>
        <v>0.15358656620618386</v>
      </c>
      <c r="O72" s="49">
        <f t="shared" si="22"/>
        <v>0.84641343379381617</v>
      </c>
      <c r="P72" s="20">
        <f t="shared" si="23"/>
        <v>0.70154524996451451</v>
      </c>
      <c r="Q72" s="20">
        <f t="shared" si="24"/>
        <v>1</v>
      </c>
      <c r="R72" s="50">
        <f t="shared" si="25"/>
        <v>0.93466046526835755</v>
      </c>
      <c r="S72" s="50"/>
    </row>
    <row r="73" spans="2:23" x14ac:dyDescent="0.25">
      <c r="B73" s="32"/>
      <c r="C73" s="33" t="s">
        <v>54</v>
      </c>
      <c r="D73" s="34">
        <v>38</v>
      </c>
      <c r="E73" s="35">
        <f>3.32+9.8</f>
        <v>13.120000000000001</v>
      </c>
      <c r="F73" s="27">
        <f t="shared" si="18"/>
        <v>1.0110896186065152E-2</v>
      </c>
      <c r="G73" s="47">
        <f>SUM(E74:E$74)/$E$75</f>
        <v>6.7084871417452091E-2</v>
      </c>
      <c r="J73" s="48">
        <f t="shared" si="19"/>
        <v>0.821409738091053</v>
      </c>
      <c r="K73" s="48">
        <f t="shared" si="20"/>
        <v>0.178590261908947</v>
      </c>
      <c r="L73" s="48">
        <f>SUM($F$63:F73)</f>
        <v>0.93291512858254799</v>
      </c>
      <c r="M73" s="48">
        <v>1</v>
      </c>
      <c r="N73" s="20">
        <f t="shared" si="21"/>
        <v>0.11952361696708035</v>
      </c>
      <c r="O73" s="49">
        <f t="shared" si="22"/>
        <v>0.88047638303291964</v>
      </c>
      <c r="P73" s="20">
        <f t="shared" si="23"/>
        <v>0.66926167020248073</v>
      </c>
      <c r="Q73" s="20">
        <f t="shared" si="24"/>
        <v>1</v>
      </c>
      <c r="R73" s="50">
        <f t="shared" si="25"/>
        <v>0.94093335505813336</v>
      </c>
      <c r="S73" s="50"/>
      <c r="T73" s="48">
        <f>SUM($F$21:$F$31)</f>
        <v>0.821409738091053</v>
      </c>
      <c r="U73" s="48">
        <f>SUM(F63:F73)</f>
        <v>0.93291512858254799</v>
      </c>
      <c r="V73" s="20">
        <v>0.7</v>
      </c>
      <c r="W73" s="20">
        <f>U73*(T73-V73)*(1-V73)*(U73-T73)/T73/(U73-V73)^2/(1-T73)</f>
        <v>0.47610172804285444</v>
      </c>
    </row>
    <row r="74" spans="2:23" x14ac:dyDescent="0.25">
      <c r="B74" s="37"/>
      <c r="C74" s="38">
        <v>-38</v>
      </c>
      <c r="D74" s="39"/>
      <c r="E74" s="40">
        <f>84.45+2.6</f>
        <v>87.05</v>
      </c>
      <c r="F74" s="27">
        <f t="shared" si="18"/>
        <v>6.7084871417452091E-2</v>
      </c>
      <c r="G74" s="41"/>
    </row>
    <row r="75" spans="2:23" ht="15.75" thickBot="1" x14ac:dyDescent="0.3">
      <c r="B75" s="42"/>
      <c r="C75" s="43" t="s">
        <v>55</v>
      </c>
      <c r="D75" s="44"/>
      <c r="E75" s="45">
        <f>SUM(E63:E74)</f>
        <v>1297.6099999999999</v>
      </c>
      <c r="F75" s="56">
        <f t="shared" si="18"/>
        <v>1</v>
      </c>
      <c r="G75" s="45"/>
    </row>
    <row r="76" spans="2:23" ht="30.75" thickBot="1" x14ac:dyDescent="0.3">
      <c r="B76" s="21" t="s">
        <v>23</v>
      </c>
      <c r="C76" s="173" t="s">
        <v>24</v>
      </c>
      <c r="D76" s="174"/>
      <c r="E76" s="22" t="s">
        <v>25</v>
      </c>
      <c r="F76" s="23" t="s">
        <v>26</v>
      </c>
      <c r="G76" s="22" t="s">
        <v>27</v>
      </c>
    </row>
    <row r="77" spans="2:23" ht="38.25" thickTop="1" x14ac:dyDescent="0.25">
      <c r="B77" s="10" t="s">
        <v>9</v>
      </c>
      <c r="C77" s="24" t="s">
        <v>43</v>
      </c>
      <c r="D77" s="25">
        <v>1180</v>
      </c>
      <c r="E77" s="26">
        <f>25.64+26.57</f>
        <v>52.21</v>
      </c>
      <c r="F77" s="27">
        <f>E77/$E$89</f>
        <v>4.1029791982648202E-2</v>
      </c>
      <c r="G77" s="28">
        <f>SUM(E78:E$88)/$E$89</f>
        <v>0.958970208017352</v>
      </c>
    </row>
    <row r="78" spans="2:23" x14ac:dyDescent="0.25">
      <c r="B78" s="29" t="s">
        <v>44</v>
      </c>
      <c r="C78" s="25" t="s">
        <v>45</v>
      </c>
      <c r="D78" s="25">
        <v>600</v>
      </c>
      <c r="E78" s="26">
        <f>94.31+101.35</f>
        <v>195.66</v>
      </c>
      <c r="F78" s="27">
        <f t="shared" ref="F78:F88" si="26">E78/$E$89</f>
        <v>0.1537615226838718</v>
      </c>
      <c r="G78" s="28">
        <f>SUM(E79:E$88)/$E$89</f>
        <v>0.80520868533348011</v>
      </c>
    </row>
    <row r="79" spans="2:23" x14ac:dyDescent="0.25">
      <c r="B79" s="31">
        <f>FORECAST(0.8,D78:D79,G78:G79)</f>
        <v>595.21118038066129</v>
      </c>
      <c r="C79" s="25" t="s">
        <v>46</v>
      </c>
      <c r="D79" s="25">
        <v>425</v>
      </c>
      <c r="E79" s="26">
        <f>118.5+123.71</f>
        <v>242.20999999999998</v>
      </c>
      <c r="F79" s="27">
        <f t="shared" si="26"/>
        <v>0.19034334258029534</v>
      </c>
      <c r="G79" s="28">
        <f>SUM(E80:E$88)/$E$89</f>
        <v>0.61486534275318483</v>
      </c>
    </row>
    <row r="80" spans="2:23" x14ac:dyDescent="0.25">
      <c r="B80" s="32"/>
      <c r="C80" s="25" t="s">
        <v>47</v>
      </c>
      <c r="D80" s="25">
        <v>300</v>
      </c>
      <c r="E80" s="26">
        <f>164.92+169.54</f>
        <v>334.46</v>
      </c>
      <c r="F80" s="27">
        <f t="shared" si="26"/>
        <v>0.26283900069941613</v>
      </c>
      <c r="G80" s="28">
        <f>SUM(E81:E$88)/$E$89</f>
        <v>0.3520263420537687</v>
      </c>
      <c r="H80" s="30"/>
      <c r="J80" s="48">
        <f>J66</f>
        <v>0.35288947711269425</v>
      </c>
      <c r="K80" s="48">
        <f>1-J80</f>
        <v>0.64711052288730575</v>
      </c>
      <c r="L80" s="48">
        <f>SUM($F$77:F80)</f>
        <v>0.64797365794623141</v>
      </c>
      <c r="M80" s="48">
        <v>1</v>
      </c>
      <c r="N80" s="20">
        <f>+(L80-J80)/(L80+M80-1)</f>
        <v>0.45539533469433585</v>
      </c>
      <c r="O80" s="49">
        <f>1-N80</f>
        <v>0.5446046653056642</v>
      </c>
      <c r="P80" s="20">
        <f>+N80*M80/K80</f>
        <v>0.70373656212919122</v>
      </c>
      <c r="Q80" s="20">
        <f>+O80*L80/J80</f>
        <v>1.0000000000000002</v>
      </c>
      <c r="R80" s="50">
        <f>+N80*M80+O80*L80</f>
        <v>0.80828481180703016</v>
      </c>
      <c r="S80" s="50"/>
    </row>
    <row r="81" spans="2:23" x14ac:dyDescent="0.25">
      <c r="B81" s="32"/>
      <c r="C81" s="33" t="s">
        <v>48</v>
      </c>
      <c r="D81" s="34">
        <v>212</v>
      </c>
      <c r="E81" s="35">
        <f>102.63+105.05</f>
        <v>207.68</v>
      </c>
      <c r="F81" s="27">
        <f t="shared" si="26"/>
        <v>0.16320756941115455</v>
      </c>
      <c r="G81" s="28">
        <f>SUM(E82:E$88)/$E$89</f>
        <v>0.18881877264261415</v>
      </c>
      <c r="H81" s="36">
        <f>SUM(F82:F88)*100</f>
        <v>18.881877264261412</v>
      </c>
      <c r="I81" s="30">
        <f>($I$194-H81)/($I$194*(100-H81))*10000</f>
        <v>77.134727305452557</v>
      </c>
      <c r="J81" s="48">
        <f t="shared" ref="J81:J87" si="27">J67</f>
        <v>0.49553834541374997</v>
      </c>
      <c r="K81" s="48">
        <f t="shared" ref="K81:K87" si="28">1-J81</f>
        <v>0.50446165458625003</v>
      </c>
      <c r="L81" s="48">
        <f>SUM($F$77:F81)</f>
        <v>0.81118122735738596</v>
      </c>
      <c r="M81" s="53">
        <v>0.87239999999999995</v>
      </c>
      <c r="N81" s="20">
        <f t="shared" ref="N81:N87" si="29">+(L81-J81)/(L81+M81-1)</f>
        <v>0.46174890314624362</v>
      </c>
      <c r="O81" s="49">
        <f t="shared" ref="O81:O87" si="30">1-N81</f>
        <v>0.53825109685375638</v>
      </c>
      <c r="P81" s="20">
        <f t="shared" ref="P81:P87" si="31">+N81*M81/K81</f>
        <v>0.79853392114644728</v>
      </c>
      <c r="Q81" s="20">
        <f t="shared" ref="Q81:Q87" si="32">+O81*L81/J81</f>
        <v>0.88110070474512714</v>
      </c>
      <c r="R81" s="50">
        <f t="shared" ref="R81:R87" si="33">+N81*M81+O81*L81</f>
        <v>0.83944892847707231</v>
      </c>
      <c r="S81" s="50"/>
    </row>
    <row r="82" spans="2:23" x14ac:dyDescent="0.25">
      <c r="B82" s="32"/>
      <c r="C82" s="33" t="s">
        <v>49</v>
      </c>
      <c r="D82" s="34">
        <v>180</v>
      </c>
      <c r="E82" s="35">
        <f>13.86+14.51</f>
        <v>28.369999999999997</v>
      </c>
      <c r="F82" s="27">
        <f t="shared" si="26"/>
        <v>2.2294870686606575E-2</v>
      </c>
      <c r="G82" s="28">
        <f>SUM(E83:E$88)/$E$89</f>
        <v>0.16652390195600758</v>
      </c>
      <c r="J82" s="48">
        <f t="shared" si="27"/>
        <v>0.53418878537528569</v>
      </c>
      <c r="K82" s="48">
        <f t="shared" si="28"/>
        <v>0.46581121462471431</v>
      </c>
      <c r="L82" s="48">
        <f>SUM($F$77:F82)</f>
        <v>0.83347609804399259</v>
      </c>
      <c r="M82" s="48">
        <v>1</v>
      </c>
      <c r="N82" s="20">
        <f t="shared" si="29"/>
        <v>0.35908325790154799</v>
      </c>
      <c r="O82" s="49">
        <f t="shared" si="30"/>
        <v>0.64091674209845206</v>
      </c>
      <c r="P82" s="20">
        <f t="shared" si="31"/>
        <v>0.77087722800071956</v>
      </c>
      <c r="Q82" s="20">
        <f t="shared" si="32"/>
        <v>1</v>
      </c>
      <c r="R82" s="50">
        <f t="shared" si="33"/>
        <v>0.89327204327683374</v>
      </c>
      <c r="S82" s="50"/>
    </row>
    <row r="83" spans="2:23" x14ac:dyDescent="0.25">
      <c r="B83" s="32"/>
      <c r="C83" s="33" t="s">
        <v>50</v>
      </c>
      <c r="D83" s="34">
        <v>150</v>
      </c>
      <c r="E83" s="35">
        <f>14.9+16.71</f>
        <v>31.61</v>
      </c>
      <c r="F83" s="27">
        <f t="shared" si="26"/>
        <v>2.4841059654692771E-2</v>
      </c>
      <c r="G83" s="28">
        <f>SUM(E84:E$88)/$E$89</f>
        <v>0.14168284230131478</v>
      </c>
      <c r="J83" s="48">
        <f t="shared" si="27"/>
        <v>0.59205070673022242</v>
      </c>
      <c r="K83" s="48">
        <f t="shared" si="28"/>
        <v>0.40794929326977758</v>
      </c>
      <c r="L83" s="48">
        <f>SUM($F$77:F83)</f>
        <v>0.85831715769868533</v>
      </c>
      <c r="M83" s="48">
        <v>1</v>
      </c>
      <c r="N83" s="20">
        <f t="shared" si="29"/>
        <v>0.31021918713867369</v>
      </c>
      <c r="O83" s="49">
        <f t="shared" si="30"/>
        <v>0.68978081286132631</v>
      </c>
      <c r="P83" s="20">
        <f t="shared" si="31"/>
        <v>0.760435652804343</v>
      </c>
      <c r="Q83" s="20">
        <f t="shared" si="32"/>
        <v>1</v>
      </c>
      <c r="R83" s="50">
        <f t="shared" si="33"/>
        <v>0.90226989386889611</v>
      </c>
      <c r="S83" s="50"/>
    </row>
    <row r="84" spans="2:23" x14ac:dyDescent="0.25">
      <c r="B84" s="32"/>
      <c r="C84" s="33" t="s">
        <v>51</v>
      </c>
      <c r="D84" s="34">
        <v>106</v>
      </c>
      <c r="E84" s="35">
        <f>17.49+19.43</f>
        <v>36.92</v>
      </c>
      <c r="F84" s="27">
        <f t="shared" si="26"/>
        <v>2.9013980463500701E-2</v>
      </c>
      <c r="G84" s="28">
        <f>SUM(E85:E$88)/$E$89</f>
        <v>0.11266886183781408</v>
      </c>
      <c r="J84" s="48">
        <f t="shared" si="27"/>
        <v>0.67625862086792887</v>
      </c>
      <c r="K84" s="48">
        <f t="shared" si="28"/>
        <v>0.32374137913207113</v>
      </c>
      <c r="L84" s="48">
        <f>SUM($F$77:F84)</f>
        <v>0.88733113816218601</v>
      </c>
      <c r="M84" s="48">
        <v>1</v>
      </c>
      <c r="N84" s="20">
        <f t="shared" si="29"/>
        <v>0.23787344793447043</v>
      </c>
      <c r="O84" s="49">
        <f t="shared" si="30"/>
        <v>0.76212655206552959</v>
      </c>
      <c r="P84" s="20">
        <f t="shared" si="31"/>
        <v>0.73476380613498704</v>
      </c>
      <c r="Q84" s="20">
        <f t="shared" si="32"/>
        <v>1</v>
      </c>
      <c r="R84" s="50">
        <f t="shared" si="33"/>
        <v>0.91413206880239928</v>
      </c>
      <c r="S84" s="50"/>
    </row>
    <row r="85" spans="2:23" x14ac:dyDescent="0.25">
      <c r="B85" s="32"/>
      <c r="C85" s="33" t="s">
        <v>52</v>
      </c>
      <c r="D85" s="34">
        <v>75</v>
      </c>
      <c r="E85" s="35">
        <f>10.23+13.1</f>
        <v>23.33</v>
      </c>
      <c r="F85" s="27">
        <f t="shared" si="26"/>
        <v>1.8334132291805832E-2</v>
      </c>
      <c r="G85" s="28">
        <f>SUM(E86:E$88)/$E$89</f>
        <v>9.4334729546008245E-2</v>
      </c>
      <c r="J85" s="48">
        <f t="shared" si="27"/>
        <v>0.73337607146919237</v>
      </c>
      <c r="K85" s="48">
        <f t="shared" si="28"/>
        <v>0.26662392853080763</v>
      </c>
      <c r="L85" s="48">
        <f>SUM($F$77:F85)</f>
        <v>0.90566527045399181</v>
      </c>
      <c r="M85" s="48">
        <v>1</v>
      </c>
      <c r="N85" s="20">
        <f t="shared" si="29"/>
        <v>0.19023496274560062</v>
      </c>
      <c r="O85" s="49">
        <f t="shared" si="30"/>
        <v>0.80976503725439941</v>
      </c>
      <c r="P85" s="20">
        <f t="shared" si="31"/>
        <v>0.71349546079327053</v>
      </c>
      <c r="Q85" s="20">
        <f t="shared" si="32"/>
        <v>1</v>
      </c>
      <c r="R85" s="50">
        <f t="shared" si="33"/>
        <v>0.92361103421479296</v>
      </c>
      <c r="S85" s="50"/>
    </row>
    <row r="86" spans="2:23" x14ac:dyDescent="0.25">
      <c r="B86" s="32"/>
      <c r="C86" s="33" t="s">
        <v>53</v>
      </c>
      <c r="D86" s="34">
        <v>53</v>
      </c>
      <c r="E86" s="51">
        <f>7.86+11.24</f>
        <v>19.100000000000001</v>
      </c>
      <c r="F86" s="27">
        <f t="shared" si="26"/>
        <v>1.5009941139026636E-2</v>
      </c>
      <c r="G86" s="28">
        <f>SUM(E87:E$88)/$E$89</f>
        <v>7.9324788406981595E-2</v>
      </c>
      <c r="J86" s="48">
        <f t="shared" si="27"/>
        <v>0.78107389906217373</v>
      </c>
      <c r="K86" s="48">
        <f t="shared" si="28"/>
        <v>0.21892610093782627</v>
      </c>
      <c r="L86" s="48">
        <f>SUM($F$77:F86)</f>
        <v>0.92067521159301846</v>
      </c>
      <c r="M86" s="48">
        <v>1</v>
      </c>
      <c r="N86" s="20">
        <f t="shared" si="29"/>
        <v>0.15162927248719613</v>
      </c>
      <c r="O86" s="49">
        <f t="shared" si="30"/>
        <v>0.84837072751280385</v>
      </c>
      <c r="P86" s="20">
        <f t="shared" si="31"/>
        <v>0.69260481887565317</v>
      </c>
      <c r="Q86" s="20">
        <f t="shared" si="32"/>
        <v>1</v>
      </c>
      <c r="R86" s="50">
        <f t="shared" si="33"/>
        <v>0.93270317154936988</v>
      </c>
      <c r="S86" s="50"/>
    </row>
    <row r="87" spans="2:23" x14ac:dyDescent="0.25">
      <c r="B87" s="32"/>
      <c r="C87" s="33" t="s">
        <v>54</v>
      </c>
      <c r="D87" s="34">
        <v>38</v>
      </c>
      <c r="E87" s="35">
        <f>5.32+8.64</f>
        <v>13.96</v>
      </c>
      <c r="F87" s="27">
        <f t="shared" si="26"/>
        <v>1.097061666496397E-2</v>
      </c>
      <c r="G87" s="28">
        <f>SUM(E88:E$88)/$E$89</f>
        <v>6.8354171742017633E-2</v>
      </c>
      <c r="J87" s="48">
        <f t="shared" si="27"/>
        <v>0.821409738091053</v>
      </c>
      <c r="K87" s="48">
        <f t="shared" si="28"/>
        <v>0.178590261908947</v>
      </c>
      <c r="L87" s="48">
        <f>SUM($F$77:F87)</f>
        <v>0.93164582825798248</v>
      </c>
      <c r="M87" s="48">
        <v>1</v>
      </c>
      <c r="N87" s="20">
        <f t="shared" si="29"/>
        <v>0.11832403132535034</v>
      </c>
      <c r="O87" s="49">
        <f t="shared" si="30"/>
        <v>0.8816759686746497</v>
      </c>
      <c r="P87" s="20">
        <f t="shared" si="31"/>
        <v>0.66254469902551028</v>
      </c>
      <c r="Q87" s="20">
        <f t="shared" si="32"/>
        <v>1</v>
      </c>
      <c r="R87" s="50">
        <f t="shared" si="33"/>
        <v>0.9397337694164033</v>
      </c>
      <c r="S87" s="50"/>
      <c r="T87" s="48">
        <f>SUM($F$21:$F$31)</f>
        <v>0.821409738091053</v>
      </c>
      <c r="U87" s="48">
        <f>SUM(F77:F87)</f>
        <v>0.93164582825798248</v>
      </c>
      <c r="V87" s="20">
        <v>0.7</v>
      </c>
      <c r="W87" s="20">
        <f>U87*(T87-V87)*(1-V87)*(U87-T87)/T87/(U87-V87)^2/(1-T87)</f>
        <v>0.47520700487429157</v>
      </c>
    </row>
    <row r="88" spans="2:23" x14ac:dyDescent="0.25">
      <c r="B88" s="37"/>
      <c r="C88" s="38">
        <v>-38</v>
      </c>
      <c r="D88" s="39"/>
      <c r="E88" s="40">
        <f>81.89+5.09</f>
        <v>86.98</v>
      </c>
      <c r="F88" s="27">
        <f t="shared" si="26"/>
        <v>6.8354171742017633E-2</v>
      </c>
      <c r="G88" s="41"/>
    </row>
    <row r="89" spans="2:23" ht="15.75" thickBot="1" x14ac:dyDescent="0.3">
      <c r="B89" s="42"/>
      <c r="C89" s="43" t="s">
        <v>55</v>
      </c>
      <c r="D89" s="44"/>
      <c r="E89" s="45">
        <f>SUM(E77:E88)</f>
        <v>1272.4899999999998</v>
      </c>
      <c r="F89" s="27">
        <f>E89/$E$89</f>
        <v>1</v>
      </c>
      <c r="G89" s="45"/>
    </row>
    <row r="90" spans="2:23" ht="30.75" thickBot="1" x14ac:dyDescent="0.3">
      <c r="B90" s="21" t="s">
        <v>23</v>
      </c>
      <c r="C90" s="173" t="s">
        <v>24</v>
      </c>
      <c r="D90" s="174"/>
      <c r="E90" s="22" t="s">
        <v>25</v>
      </c>
      <c r="F90" s="23" t="s">
        <v>26</v>
      </c>
      <c r="G90" s="22" t="s">
        <v>27</v>
      </c>
    </row>
    <row r="91" spans="2:23" ht="38.25" thickTop="1" x14ac:dyDescent="0.25">
      <c r="B91" s="10" t="s">
        <v>10</v>
      </c>
      <c r="C91" s="24" t="s">
        <v>43</v>
      </c>
      <c r="D91" s="25">
        <v>1180</v>
      </c>
      <c r="E91" s="26">
        <v>57.25</v>
      </c>
      <c r="F91" s="27">
        <f>E91/$E$103</f>
        <v>5.1221257940413358E-2</v>
      </c>
      <c r="G91" s="28">
        <f>SUM(E92:E$102)/$E$103</f>
        <v>0.9487787420595869</v>
      </c>
    </row>
    <row r="92" spans="2:23" x14ac:dyDescent="0.25">
      <c r="B92" s="29" t="s">
        <v>44</v>
      </c>
      <c r="C92" s="25" t="s">
        <v>45</v>
      </c>
      <c r="D92" s="25">
        <v>600</v>
      </c>
      <c r="E92" s="26">
        <v>211.45</v>
      </c>
      <c r="F92" s="27">
        <f t="shared" ref="F92:F103" si="34">E92/$E$103</f>
        <v>0.18918314395633892</v>
      </c>
      <c r="G92" s="28">
        <f>SUM(E93:E$102)/$E$103</f>
        <v>0.75959559810324806</v>
      </c>
    </row>
    <row r="93" spans="2:23" x14ac:dyDescent="0.25">
      <c r="B93" s="31">
        <f>FORECAST(0.8,D91:D92,G91:G92)</f>
        <v>723.87231023882623</v>
      </c>
      <c r="C93" s="25" t="s">
        <v>46</v>
      </c>
      <c r="D93" s="25">
        <v>425</v>
      </c>
      <c r="E93" s="26">
        <v>250.93</v>
      </c>
      <c r="F93" s="27">
        <f t="shared" si="34"/>
        <v>0.22450568130983273</v>
      </c>
      <c r="G93" s="28">
        <f>SUM(E94:E$102)/$E$103</f>
        <v>0.53508991679341522</v>
      </c>
    </row>
    <row r="94" spans="2:23" x14ac:dyDescent="0.25">
      <c r="B94" s="32"/>
      <c r="C94" s="25" t="s">
        <v>47</v>
      </c>
      <c r="D94" s="25">
        <v>300</v>
      </c>
      <c r="E94" s="26">
        <v>311.27</v>
      </c>
      <c r="F94" s="27">
        <f t="shared" si="34"/>
        <v>0.27849154513733565</v>
      </c>
      <c r="G94" s="28">
        <f>SUM(E95:E$102)/$E$103</f>
        <v>0.25659837165607952</v>
      </c>
      <c r="H94" s="30"/>
      <c r="J94" s="48">
        <f>J80</f>
        <v>0.35288947711269425</v>
      </c>
      <c r="K94" s="48">
        <f>1-J94</f>
        <v>0.64711052288730575</v>
      </c>
      <c r="L94" s="48">
        <f>SUM($F$92:F94)</f>
        <v>0.69218037040350733</v>
      </c>
      <c r="M94" s="48">
        <v>1</v>
      </c>
      <c r="N94" s="20">
        <f>+(L94-J94)/(L94+M94-1)</f>
        <v>0.49017699402978304</v>
      </c>
      <c r="O94" s="49">
        <f>1-N94</f>
        <v>0.5098230059702169</v>
      </c>
      <c r="P94" s="20">
        <f>+N94*M94/K94</f>
        <v>0.75748574114154432</v>
      </c>
      <c r="Q94" s="20">
        <f>+O94*L94/J94</f>
        <v>1</v>
      </c>
      <c r="R94" s="50">
        <f>+N94*M94+O94*L94</f>
        <v>0.84306647114247735</v>
      </c>
      <c r="S94" s="50"/>
    </row>
    <row r="95" spans="2:23" x14ac:dyDescent="0.25">
      <c r="B95" s="32"/>
      <c r="C95" s="33" t="s">
        <v>48</v>
      </c>
      <c r="D95" s="34">
        <v>212</v>
      </c>
      <c r="E95" s="35">
        <v>153.91</v>
      </c>
      <c r="F95" s="27">
        <f t="shared" si="34"/>
        <v>0.13770242462199161</v>
      </c>
      <c r="G95" s="28">
        <f>SUM(E96:E$102)/$E$103</f>
        <v>0.11889594703408786</v>
      </c>
      <c r="H95" s="36">
        <f>SUM(F96:F102)*100</f>
        <v>11.889594703408788</v>
      </c>
      <c r="I95" s="30">
        <f>($I$194-H95)/($I$194*(100-H95))*10000</f>
        <v>86.744718416053772</v>
      </c>
      <c r="J95" s="48">
        <f t="shared" ref="J95:J101" si="35">J81</f>
        <v>0.49553834541374997</v>
      </c>
      <c r="K95" s="48">
        <f>1-J95</f>
        <v>0.50446165458625003</v>
      </c>
      <c r="L95" s="48">
        <f>SUM($F$91:F95)</f>
        <v>0.88110405296591221</v>
      </c>
      <c r="M95" s="53">
        <v>0.87239999999999995</v>
      </c>
      <c r="N95" s="20">
        <f>+(L95-J95)/(L95+M95-1)</f>
        <v>0.51169692589510851</v>
      </c>
      <c r="O95" s="49">
        <f>1-N95</f>
        <v>0.48830307410489149</v>
      </c>
      <c r="P95" s="20">
        <f>+N95*M95/K95</f>
        <v>0.88491244892939414</v>
      </c>
      <c r="Q95" s="20">
        <f t="shared" ref="Q95:Q101" si="36">+O95*L95/J95</f>
        <v>0.86823920217576733</v>
      </c>
      <c r="R95" s="50">
        <f t="shared" ref="R95:R101" si="37">+N95*M95+O95*L95</f>
        <v>0.87665021582042679</v>
      </c>
      <c r="S95" s="50"/>
    </row>
    <row r="96" spans="2:23" x14ac:dyDescent="0.25">
      <c r="B96" s="32"/>
      <c r="C96" s="33" t="s">
        <v>49</v>
      </c>
      <c r="D96" s="34">
        <v>180</v>
      </c>
      <c r="E96" s="35">
        <v>21.84</v>
      </c>
      <c r="F96" s="27">
        <f t="shared" si="34"/>
        <v>1.9540127046613585E-2</v>
      </c>
      <c r="G96" s="28">
        <f>SUM(E97:E$102)/$E$103</f>
        <v>9.9355819987474281E-2</v>
      </c>
      <c r="J96" s="48">
        <f t="shared" si="35"/>
        <v>0.53418878537528569</v>
      </c>
      <c r="K96" s="48">
        <f t="shared" ref="K96:K101" si="38">1-J96</f>
        <v>0.46581121462471431</v>
      </c>
      <c r="L96" s="48">
        <f>SUM($F$92:F96)</f>
        <v>0.84942292207211256</v>
      </c>
      <c r="M96" s="48">
        <v>1</v>
      </c>
      <c r="N96" s="20">
        <f t="shared" ref="N96:N101" si="39">+(L96-J96)/(L96+M96-1)</f>
        <v>0.37111564628822763</v>
      </c>
      <c r="O96" s="49">
        <f t="shared" ref="O96:O101" si="40">1-N96</f>
        <v>0.62888435371177231</v>
      </c>
      <c r="P96" s="20">
        <f t="shared" ref="P96:P101" si="41">+N96*M96/K96</f>
        <v>0.79670826857876498</v>
      </c>
      <c r="Q96" s="20">
        <f t="shared" si="36"/>
        <v>1</v>
      </c>
      <c r="R96" s="50">
        <f t="shared" si="37"/>
        <v>0.90530443166351326</v>
      </c>
      <c r="S96" s="50"/>
    </row>
    <row r="97" spans="2:23" x14ac:dyDescent="0.25">
      <c r="B97" s="32"/>
      <c r="C97" s="33" t="s">
        <v>50</v>
      </c>
      <c r="D97" s="34">
        <v>150</v>
      </c>
      <c r="E97" s="35">
        <v>21.97</v>
      </c>
      <c r="F97" s="27">
        <f t="shared" si="34"/>
        <v>1.965643732665295E-2</v>
      </c>
      <c r="G97" s="28">
        <f>SUM(E98:E$102)/$E$103</f>
        <v>7.9699382660821341E-2</v>
      </c>
      <c r="J97" s="48">
        <f t="shared" si="35"/>
        <v>0.59205070673022242</v>
      </c>
      <c r="K97" s="48">
        <f t="shared" si="38"/>
        <v>0.40794929326977758</v>
      </c>
      <c r="L97" s="48">
        <f>SUM($F$92:F97)</f>
        <v>0.86907935939876546</v>
      </c>
      <c r="M97" s="48">
        <v>1</v>
      </c>
      <c r="N97" s="20">
        <f t="shared" si="39"/>
        <v>0.31876105406552652</v>
      </c>
      <c r="O97" s="49">
        <f t="shared" si="40"/>
        <v>0.68123894593447343</v>
      </c>
      <c r="P97" s="20">
        <f t="shared" si="41"/>
        <v>0.78137420342270159</v>
      </c>
      <c r="Q97" s="20">
        <f t="shared" si="36"/>
        <v>1</v>
      </c>
      <c r="R97" s="50">
        <f t="shared" si="37"/>
        <v>0.91081176079574888</v>
      </c>
      <c r="S97" s="50"/>
    </row>
    <row r="98" spans="2:23" x14ac:dyDescent="0.25">
      <c r="B98" s="32"/>
      <c r="C98" s="33" t="s">
        <v>51</v>
      </c>
      <c r="D98" s="34">
        <v>106</v>
      </c>
      <c r="E98" s="35">
        <v>23.27</v>
      </c>
      <c r="F98" s="27">
        <f t="shared" si="34"/>
        <v>2.0819540127046617E-2</v>
      </c>
      <c r="G98" s="28">
        <f>SUM(E99:E$102)/$E$103</f>
        <v>5.8879842533774727E-2</v>
      </c>
      <c r="J98" s="48">
        <f t="shared" si="35"/>
        <v>0.67625862086792887</v>
      </c>
      <c r="K98" s="48">
        <f t="shared" si="38"/>
        <v>0.32374137913207113</v>
      </c>
      <c r="L98" s="48">
        <f>SUM($F$92:F98)</f>
        <v>0.88989889952581203</v>
      </c>
      <c r="M98" s="48">
        <v>1</v>
      </c>
      <c r="N98" s="20">
        <f t="shared" si="39"/>
        <v>0.24007252820710603</v>
      </c>
      <c r="O98" s="49">
        <f t="shared" si="40"/>
        <v>0.75992747179289399</v>
      </c>
      <c r="P98" s="20">
        <f t="shared" si="41"/>
        <v>0.74155651295093739</v>
      </c>
      <c r="Q98" s="20">
        <f t="shared" si="36"/>
        <v>1</v>
      </c>
      <c r="R98" s="50">
        <f t="shared" si="37"/>
        <v>0.91633114907503488</v>
      </c>
      <c r="S98" s="50"/>
    </row>
    <row r="99" spans="2:23" x14ac:dyDescent="0.25">
      <c r="B99" s="32"/>
      <c r="C99" s="33" t="s">
        <v>52</v>
      </c>
      <c r="D99" s="34">
        <v>75</v>
      </c>
      <c r="E99" s="35">
        <v>11.45</v>
      </c>
      <c r="F99" s="27">
        <f t="shared" si="34"/>
        <v>1.024425158808267E-2</v>
      </c>
      <c r="G99" s="28">
        <f>SUM(E100:E$102)/$E$103</f>
        <v>4.8635590945692052E-2</v>
      </c>
      <c r="J99" s="48">
        <f t="shared" si="35"/>
        <v>0.73337607146919237</v>
      </c>
      <c r="K99" s="48">
        <f t="shared" si="38"/>
        <v>0.26662392853080763</v>
      </c>
      <c r="L99" s="48">
        <f>SUM($F$92:F99)</f>
        <v>0.90014315111389465</v>
      </c>
      <c r="M99" s="48">
        <v>1</v>
      </c>
      <c r="N99" s="20">
        <f t="shared" si="39"/>
        <v>0.18526728714019991</v>
      </c>
      <c r="O99" s="49">
        <f t="shared" si="40"/>
        <v>0.81473271285980009</v>
      </c>
      <c r="P99" s="20">
        <f t="shared" si="41"/>
        <v>0.69486369119639169</v>
      </c>
      <c r="Q99" s="20">
        <f t="shared" si="36"/>
        <v>1</v>
      </c>
      <c r="R99" s="50">
        <f t="shared" si="37"/>
        <v>0.91864335860939228</v>
      </c>
      <c r="S99" s="50"/>
    </row>
    <row r="100" spans="2:23" x14ac:dyDescent="0.25">
      <c r="B100" s="32"/>
      <c r="C100" s="33" t="s">
        <v>53</v>
      </c>
      <c r="D100" s="34">
        <v>53</v>
      </c>
      <c r="E100" s="35">
        <v>7.46</v>
      </c>
      <c r="F100" s="27">
        <f t="shared" si="34"/>
        <v>6.6744206853359585E-3</v>
      </c>
      <c r="G100" s="28">
        <f>SUM(E101:E$102)/$E$103</f>
        <v>4.1961170260356097E-2</v>
      </c>
      <c r="J100" s="48">
        <f t="shared" si="35"/>
        <v>0.78107389906217373</v>
      </c>
      <c r="K100" s="48">
        <f t="shared" si="38"/>
        <v>0.21892610093782627</v>
      </c>
      <c r="L100" s="48">
        <f>SUM($F$92:F100)</f>
        <v>0.90681757179923062</v>
      </c>
      <c r="M100" s="48">
        <v>1</v>
      </c>
      <c r="N100" s="20">
        <f t="shared" si="39"/>
        <v>0.13866479504534407</v>
      </c>
      <c r="O100" s="49">
        <f t="shared" si="40"/>
        <v>0.86133520495465588</v>
      </c>
      <c r="P100" s="20">
        <f t="shared" si="41"/>
        <v>0.63338630913051364</v>
      </c>
      <c r="Q100" s="20">
        <f t="shared" si="36"/>
        <v>1</v>
      </c>
      <c r="R100" s="50">
        <f t="shared" si="37"/>
        <v>0.91973869410751785</v>
      </c>
      <c r="S100" s="50"/>
    </row>
    <row r="101" spans="2:23" x14ac:dyDescent="0.25">
      <c r="B101" s="32"/>
      <c r="C101" s="33" t="s">
        <v>54</v>
      </c>
      <c r="D101" s="34">
        <v>38</v>
      </c>
      <c r="E101" s="35">
        <v>6.33</v>
      </c>
      <c r="F101" s="27">
        <f t="shared" si="34"/>
        <v>5.663415943455311E-3</v>
      </c>
      <c r="G101" s="28">
        <f>SUM(E102:E$102)/$E$103</f>
        <v>3.6297754316900785E-2</v>
      </c>
      <c r="J101" s="48">
        <f t="shared" si="35"/>
        <v>0.821409738091053</v>
      </c>
      <c r="K101" s="48">
        <f t="shared" si="38"/>
        <v>0.178590261908947</v>
      </c>
      <c r="L101" s="48">
        <f>SUM($F$92:F101)</f>
        <v>0.91248098774268593</v>
      </c>
      <c r="M101" s="48">
        <v>1</v>
      </c>
      <c r="N101" s="20">
        <f t="shared" si="39"/>
        <v>9.9806188704190821E-2</v>
      </c>
      <c r="O101" s="49">
        <f t="shared" si="40"/>
        <v>0.90019381129580922</v>
      </c>
      <c r="P101" s="20">
        <f t="shared" si="41"/>
        <v>0.55885571608084827</v>
      </c>
      <c r="Q101" s="20">
        <f t="shared" si="36"/>
        <v>1</v>
      </c>
      <c r="R101" s="50">
        <f t="shared" si="37"/>
        <v>0.92121592679524378</v>
      </c>
      <c r="S101" s="50"/>
      <c r="T101" s="48">
        <f>SUM($F$21:$F$31)</f>
        <v>0.821409738091053</v>
      </c>
      <c r="U101" s="48">
        <f>SUM(F91:F101)</f>
        <v>0.96370224568309915</v>
      </c>
      <c r="V101" s="20">
        <v>0.7</v>
      </c>
      <c r="W101" s="20">
        <f>U101*(T101-V101)*(1-V101)*(U101-T101)/T101/(U101-V101)^2/(1-T101)</f>
        <v>0.4896146487330495</v>
      </c>
    </row>
    <row r="102" spans="2:23" x14ac:dyDescent="0.25">
      <c r="B102" s="37"/>
      <c r="C102" s="38">
        <v>-38</v>
      </c>
      <c r="D102" s="39"/>
      <c r="E102" s="40">
        <v>40.57</v>
      </c>
      <c r="F102" s="27">
        <f t="shared" si="34"/>
        <v>3.6297754316900785E-2</v>
      </c>
      <c r="G102" s="41"/>
    </row>
    <row r="103" spans="2:23" ht="15.75" thickBot="1" x14ac:dyDescent="0.3">
      <c r="B103" s="57"/>
      <c r="C103" s="58" t="s">
        <v>55</v>
      </c>
      <c r="D103" s="59"/>
      <c r="E103" s="60">
        <f>SUM(E91:E102)</f>
        <v>1117.6999999999998</v>
      </c>
      <c r="F103" s="61">
        <f t="shared" si="34"/>
        <v>1</v>
      </c>
      <c r="G103" s="60"/>
    </row>
    <row r="104" spans="2:23" x14ac:dyDescent="0.25">
      <c r="C104" s="62"/>
      <c r="D104" s="63"/>
      <c r="E104" s="64"/>
      <c r="F104" s="65"/>
      <c r="G104" s="64"/>
    </row>
    <row r="105" spans="2:23" x14ac:dyDescent="0.25">
      <c r="C105" s="62"/>
      <c r="D105" s="63"/>
      <c r="E105" s="64"/>
      <c r="F105" s="65"/>
      <c r="G105" s="64"/>
    </row>
    <row r="106" spans="2:23" ht="30" x14ac:dyDescent="0.25">
      <c r="B106" s="66" t="s">
        <v>23</v>
      </c>
      <c r="C106" s="175" t="s">
        <v>24</v>
      </c>
      <c r="D106" s="175"/>
      <c r="E106" s="67" t="s">
        <v>25</v>
      </c>
      <c r="F106" s="68" t="s">
        <v>26</v>
      </c>
      <c r="G106" s="67" t="s">
        <v>27</v>
      </c>
    </row>
    <row r="107" spans="2:23" ht="37.5" x14ac:dyDescent="0.25">
      <c r="B107" s="69" t="s">
        <v>56</v>
      </c>
      <c r="C107" s="70" t="s">
        <v>43</v>
      </c>
      <c r="D107" s="71">
        <v>1180</v>
      </c>
      <c r="E107" s="72">
        <v>16.68</v>
      </c>
      <c r="F107" s="73">
        <f t="shared" ref="F107:F119" si="42">E107/$E$119</f>
        <v>1.7656959573184285E-2</v>
      </c>
      <c r="G107" s="74">
        <f>SUM(E108:E$118)/$E$119</f>
        <v>0.98234304042681564</v>
      </c>
    </row>
    <row r="108" spans="2:23" x14ac:dyDescent="0.25">
      <c r="B108" s="29" t="s">
        <v>44</v>
      </c>
      <c r="C108" s="25" t="s">
        <v>45</v>
      </c>
      <c r="D108" s="25">
        <v>600</v>
      </c>
      <c r="E108" s="26">
        <v>77.89</v>
      </c>
      <c r="F108" s="27">
        <f t="shared" si="42"/>
        <v>8.2452073210750834E-2</v>
      </c>
      <c r="G108" s="28">
        <f>SUM(E109:E$118)/$E$119</f>
        <v>0.89989096721606499</v>
      </c>
    </row>
    <row r="109" spans="2:23" x14ac:dyDescent="0.25">
      <c r="B109" s="31">
        <f>FORECAST(0.8,D108:D109,G108:G109)</f>
        <v>430.78491648734507</v>
      </c>
      <c r="C109" s="25" t="s">
        <v>46</v>
      </c>
      <c r="D109" s="25">
        <v>425</v>
      </c>
      <c r="E109" s="26">
        <v>97.59</v>
      </c>
      <c r="F109" s="27">
        <f t="shared" si="42"/>
        <v>0.10330591635174187</v>
      </c>
      <c r="G109" s="28">
        <f>SUM(E110:E$118)/$E$119</f>
        <v>0.79658505086432307</v>
      </c>
    </row>
    <row r="110" spans="2:23" x14ac:dyDescent="0.25">
      <c r="B110" s="32"/>
      <c r="C110" s="25" t="s">
        <v>47</v>
      </c>
      <c r="D110" s="25">
        <v>300</v>
      </c>
      <c r="E110" s="26">
        <v>142.9</v>
      </c>
      <c r="F110" s="27">
        <f t="shared" si="42"/>
        <v>0.15126975557602126</v>
      </c>
      <c r="G110" s="28">
        <f>SUM(E111:E$118)/$E$119</f>
        <v>0.64531529528830167</v>
      </c>
    </row>
    <row r="111" spans="2:23" x14ac:dyDescent="0.25">
      <c r="B111" s="32"/>
      <c r="C111" s="33" t="s">
        <v>48</v>
      </c>
      <c r="D111" s="34">
        <v>212</v>
      </c>
      <c r="E111" s="35">
        <v>135.36000000000001</v>
      </c>
      <c r="F111" s="27">
        <f t="shared" si="42"/>
        <v>0.14328813236368257</v>
      </c>
      <c r="G111" s="28">
        <f>SUM(E112:E$118)/$E$119</f>
        <v>0.50202716292461913</v>
      </c>
      <c r="H111" s="36">
        <f>SUM(F112:F118)*100</f>
        <v>50.202716292461915</v>
      </c>
      <c r="I111" s="30">
        <f>($I$194-H111)/($I$194*(100-H111))*10000</f>
        <v>0.96911312956390028</v>
      </c>
    </row>
    <row r="112" spans="2:23" x14ac:dyDescent="0.25">
      <c r="B112" s="32"/>
      <c r="C112" s="33" t="s">
        <v>49</v>
      </c>
      <c r="D112" s="34">
        <v>180</v>
      </c>
      <c r="E112" s="35">
        <v>34.75</v>
      </c>
      <c r="F112" s="27">
        <f t="shared" si="42"/>
        <v>3.6785332444133928E-2</v>
      </c>
      <c r="G112" s="28">
        <f>SUM(E113:E$118)/$E$119</f>
        <v>0.46524183048048523</v>
      </c>
    </row>
    <row r="113" spans="2:19" x14ac:dyDescent="0.25">
      <c r="B113" s="32"/>
      <c r="C113" s="33" t="s">
        <v>50</v>
      </c>
      <c r="D113" s="34">
        <v>150</v>
      </c>
      <c r="E113" s="35">
        <v>56.76</v>
      </c>
      <c r="F113" s="27">
        <f t="shared" si="42"/>
        <v>6.0084473943281771E-2</v>
      </c>
      <c r="G113" s="28">
        <f>SUM(E114:E$118)/$E$119</f>
        <v>0.40515735653720347</v>
      </c>
    </row>
    <row r="114" spans="2:19" x14ac:dyDescent="0.25">
      <c r="B114" s="32"/>
      <c r="C114" s="33" t="s">
        <v>51</v>
      </c>
      <c r="D114" s="34">
        <v>106</v>
      </c>
      <c r="E114" s="35">
        <v>76.06</v>
      </c>
      <c r="F114" s="27">
        <f t="shared" si="42"/>
        <v>8.0514888797146092E-2</v>
      </c>
      <c r="G114" s="28">
        <f>SUM(E115:E$118)/$E$119</f>
        <v>0.32464246774005734</v>
      </c>
    </row>
    <row r="115" spans="2:19" x14ac:dyDescent="0.25">
      <c r="B115" s="32"/>
      <c r="C115" s="33" t="s">
        <v>52</v>
      </c>
      <c r="D115" s="34">
        <v>75</v>
      </c>
      <c r="E115" s="35">
        <v>58.63</v>
      </c>
      <c r="F115" s="27">
        <f t="shared" si="42"/>
        <v>6.2064001185599203E-2</v>
      </c>
      <c r="G115" s="28">
        <f>SUM(E116:E$118)/$E$119</f>
        <v>0.26257846655445816</v>
      </c>
    </row>
    <row r="116" spans="2:19" x14ac:dyDescent="0.25">
      <c r="B116" s="32"/>
      <c r="C116" s="33" t="s">
        <v>53</v>
      </c>
      <c r="D116" s="34">
        <v>53</v>
      </c>
      <c r="E116" s="35">
        <v>43</v>
      </c>
      <c r="F116" s="27">
        <f t="shared" si="42"/>
        <v>4.5518540866122559E-2</v>
      </c>
      <c r="G116" s="28">
        <f>SUM(E117:E$118)/$E$119</f>
        <v>0.2170599256883356</v>
      </c>
    </row>
    <row r="117" spans="2:19" x14ac:dyDescent="0.25">
      <c r="B117" s="32"/>
      <c r="C117" s="33" t="s">
        <v>54</v>
      </c>
      <c r="D117" s="34">
        <v>38</v>
      </c>
      <c r="E117" s="35">
        <v>38.97</v>
      </c>
      <c r="F117" s="27">
        <f t="shared" si="42"/>
        <v>4.1252500873320837E-2</v>
      </c>
      <c r="G117" s="28">
        <f>SUM(E118:E$118)/$E$119</f>
        <v>0.17580742481501477</v>
      </c>
    </row>
    <row r="118" spans="2:19" x14ac:dyDescent="0.25">
      <c r="B118" s="37"/>
      <c r="C118" s="38">
        <v>-38</v>
      </c>
      <c r="D118" s="39"/>
      <c r="E118" s="40">
        <v>166.08</v>
      </c>
      <c r="F118" s="27">
        <f t="shared" si="42"/>
        <v>0.17580742481501477</v>
      </c>
      <c r="G118" s="41"/>
    </row>
    <row r="119" spans="2:19" ht="15.75" thickBot="1" x14ac:dyDescent="0.3">
      <c r="B119" s="42"/>
      <c r="C119" s="43" t="s">
        <v>55</v>
      </c>
      <c r="D119" s="44"/>
      <c r="E119" s="45">
        <f>SUM(E107:E118)</f>
        <v>944.67000000000007</v>
      </c>
      <c r="F119" s="27">
        <f t="shared" si="42"/>
        <v>1</v>
      </c>
      <c r="G119" s="45"/>
    </row>
    <row r="120" spans="2:19" ht="30.75" thickBot="1" x14ac:dyDescent="0.3">
      <c r="B120" s="21" t="s">
        <v>23</v>
      </c>
      <c r="C120" s="173" t="s">
        <v>24</v>
      </c>
      <c r="D120" s="174"/>
      <c r="E120" s="22" t="s">
        <v>25</v>
      </c>
      <c r="F120" s="23" t="s">
        <v>26</v>
      </c>
      <c r="G120" s="22" t="s">
        <v>27</v>
      </c>
    </row>
    <row r="121" spans="2:19" ht="38.25" thickTop="1" x14ac:dyDescent="0.25">
      <c r="B121" s="10" t="s">
        <v>16</v>
      </c>
      <c r="C121" s="24" t="s">
        <v>43</v>
      </c>
      <c r="D121" s="25">
        <v>1180</v>
      </c>
      <c r="E121" s="26">
        <f>36.43+43.97</f>
        <v>80.400000000000006</v>
      </c>
      <c r="F121" s="27">
        <f>E121/$E$133</f>
        <v>4.8094178450936768E-2</v>
      </c>
      <c r="G121" s="28">
        <f>SUM(E122:E$132)/$E$133</f>
        <v>0.95190582154906322</v>
      </c>
    </row>
    <row r="122" spans="2:19" x14ac:dyDescent="0.25">
      <c r="B122" s="29" t="s">
        <v>44</v>
      </c>
      <c r="C122" s="25" t="s">
        <v>45</v>
      </c>
      <c r="D122" s="25">
        <v>600</v>
      </c>
      <c r="E122" s="26">
        <f>120.13+141.99</f>
        <v>262.12</v>
      </c>
      <c r="F122" s="27">
        <f t="shared" ref="F122:F133" si="43">E122/$E$133</f>
        <v>0.15679659273084012</v>
      </c>
      <c r="G122" s="28">
        <f>SUM(E123:E$132)/$E$133</f>
        <v>0.79510922881822343</v>
      </c>
    </row>
    <row r="123" spans="2:19" x14ac:dyDescent="0.25">
      <c r="B123" s="31">
        <f>FORECAST(0.8,D121:D122,G121:G122)</f>
        <v>618.09125591332167</v>
      </c>
      <c r="C123" s="25" t="s">
        <v>46</v>
      </c>
      <c r="D123" s="25">
        <v>425</v>
      </c>
      <c r="E123" s="26">
        <f>138.82+160.41</f>
        <v>299.23</v>
      </c>
      <c r="F123" s="27">
        <f t="shared" si="43"/>
        <v>0.17899528629196279</v>
      </c>
      <c r="G123" s="28">
        <f>SUM(E124:E$132)/$E$133</f>
        <v>0.61611394252626062</v>
      </c>
    </row>
    <row r="124" spans="2:19" x14ac:dyDescent="0.25">
      <c r="B124" s="32"/>
      <c r="C124" s="25" t="s">
        <v>47</v>
      </c>
      <c r="D124" s="25">
        <v>300</v>
      </c>
      <c r="E124" s="26">
        <f>178.82+206.36</f>
        <v>385.18</v>
      </c>
      <c r="F124" s="27">
        <f t="shared" si="43"/>
        <v>0.23040939870313212</v>
      </c>
      <c r="G124" s="28">
        <f>SUM(E125:E$132)/$E$133</f>
        <v>0.3857045438231283</v>
      </c>
      <c r="H124" s="30"/>
      <c r="J124" s="48">
        <f>SUM($F$107:F110)</f>
        <v>0.35468470471169822</v>
      </c>
      <c r="K124" s="48">
        <f>1-J124</f>
        <v>0.64531529528830178</v>
      </c>
      <c r="L124" s="48">
        <f>SUM($F$121:F124)</f>
        <v>0.61429545617687187</v>
      </c>
      <c r="M124" s="48">
        <v>1</v>
      </c>
      <c r="N124" s="20">
        <f>+(L124-J124)/(L124+M124-1)</f>
        <v>0.42261545133491085</v>
      </c>
      <c r="O124" s="49">
        <f>1-N124</f>
        <v>0.57738454866508915</v>
      </c>
      <c r="P124" s="20">
        <f>+N124*M124/K124</f>
        <v>0.65489762046644606</v>
      </c>
      <c r="Q124" s="20">
        <f>+O124*L124/J124</f>
        <v>1</v>
      </c>
      <c r="R124" s="50">
        <f>+N124*M124+O124*L124</f>
        <v>0.77730015604660907</v>
      </c>
      <c r="S124" s="50"/>
    </row>
    <row r="125" spans="2:19" x14ac:dyDescent="0.25">
      <c r="B125" s="32"/>
      <c r="C125" s="33" t="s">
        <v>48</v>
      </c>
      <c r="D125" s="34">
        <v>212</v>
      </c>
      <c r="E125" s="35">
        <f>103.85+118.18</f>
        <v>222.03</v>
      </c>
      <c r="F125" s="27">
        <f t="shared" si="43"/>
        <v>0.13281530399827723</v>
      </c>
      <c r="G125" s="28">
        <f>SUM(E126:E$132)/$E$133</f>
        <v>0.25288923982485106</v>
      </c>
      <c r="H125" s="36">
        <f>SUM(F126:F132)*100</f>
        <v>25.288923982485105</v>
      </c>
      <c r="I125" s="30">
        <f>($I$194-H125)/($I$194*(100-H125))*10000</f>
        <v>66.749784373521621</v>
      </c>
      <c r="J125" s="48">
        <f>SUM($F$107:F111)</f>
        <v>0.49797283707538076</v>
      </c>
      <c r="K125" s="48">
        <f t="shared" ref="K125:K131" si="44">1-J125</f>
        <v>0.50202716292461924</v>
      </c>
      <c r="L125" s="48">
        <f>SUM($F$121:F125)</f>
        <v>0.7471107601751491</v>
      </c>
      <c r="M125" s="53">
        <v>0.87239999999999995</v>
      </c>
      <c r="N125" s="20">
        <f t="shared" ref="N125:N131" si="45">+(L125-J125)/(L125+M125-1)</f>
        <v>0.40215269712075974</v>
      </c>
      <c r="O125" s="49">
        <f t="shared" ref="O125:O131" si="46">1-N125</f>
        <v>0.59784730287924026</v>
      </c>
      <c r="P125" s="20">
        <f t="shared" ref="P125:P131" si="47">+N125*M125/K125</f>
        <v>0.69884268995387022</v>
      </c>
      <c r="Q125" s="20">
        <f t="shared" ref="Q125:Q131" si="48">+O125*L125/J125</f>
        <v>0.89695284495037386</v>
      </c>
      <c r="R125" s="50">
        <f t="shared" ref="R125:R131" si="49">+N125*M125+O125*L125</f>
        <v>0.79749616589092254</v>
      </c>
      <c r="S125" s="50"/>
    </row>
    <row r="126" spans="2:19" x14ac:dyDescent="0.25">
      <c r="B126" s="32"/>
      <c r="C126" s="33" t="s">
        <v>49</v>
      </c>
      <c r="D126" s="34">
        <v>180</v>
      </c>
      <c r="E126" s="35">
        <f>17.01+20.58</f>
        <v>37.590000000000003</v>
      </c>
      <c r="F126" s="27">
        <f t="shared" si="43"/>
        <v>2.2485822984710364E-2</v>
      </c>
      <c r="G126" s="28">
        <f>SUM(E127:E$132)/$E$133</f>
        <v>0.23040341684014071</v>
      </c>
      <c r="J126" s="48">
        <f>SUM($F$107:F112)</f>
        <v>0.53475816951951471</v>
      </c>
      <c r="K126" s="48">
        <f t="shared" si="44"/>
        <v>0.46524183048048529</v>
      </c>
      <c r="L126" s="48">
        <f>SUM($F$121:F126)</f>
        <v>0.76959658315985946</v>
      </c>
      <c r="M126" s="48">
        <v>1</v>
      </c>
      <c r="N126" s="20">
        <f t="shared" si="45"/>
        <v>0.30514482363750889</v>
      </c>
      <c r="O126" s="49">
        <f t="shared" si="46"/>
        <v>0.69485517636249106</v>
      </c>
      <c r="P126" s="20">
        <f t="shared" si="47"/>
        <v>0.65588432433593968</v>
      </c>
      <c r="Q126" s="20">
        <f t="shared" si="48"/>
        <v>1</v>
      </c>
      <c r="R126" s="50">
        <f t="shared" si="49"/>
        <v>0.83990299315702366</v>
      </c>
      <c r="S126" s="50"/>
    </row>
    <row r="127" spans="2:19" x14ac:dyDescent="0.25">
      <c r="B127" s="32"/>
      <c r="C127" s="33" t="s">
        <v>50</v>
      </c>
      <c r="D127" s="34">
        <v>150</v>
      </c>
      <c r="E127" s="35">
        <f>23.86+29.25</f>
        <v>53.11</v>
      </c>
      <c r="F127" s="27">
        <f t="shared" si="43"/>
        <v>3.1769674347378749E-2</v>
      </c>
      <c r="G127" s="28">
        <f>SUM(E128:E$132)/$E$133</f>
        <v>0.19863374249276194</v>
      </c>
      <c r="J127" s="48">
        <f>SUM($F$107:F113)</f>
        <v>0.59484264346279647</v>
      </c>
      <c r="K127" s="48">
        <f t="shared" si="44"/>
        <v>0.40515735653720353</v>
      </c>
      <c r="L127" s="48">
        <f>SUM($F$121:F127)</f>
        <v>0.80136625750723822</v>
      </c>
      <c r="M127" s="48">
        <v>1</v>
      </c>
      <c r="N127" s="20">
        <f t="shared" si="45"/>
        <v>0.2577143872851127</v>
      </c>
      <c r="O127" s="49">
        <f t="shared" si="46"/>
        <v>0.74228561271488736</v>
      </c>
      <c r="P127" s="20">
        <f t="shared" si="47"/>
        <v>0.63608467951253433</v>
      </c>
      <c r="Q127" s="20">
        <f t="shared" si="48"/>
        <v>1</v>
      </c>
      <c r="R127" s="50">
        <f t="shared" si="49"/>
        <v>0.85255703074790912</v>
      </c>
      <c r="S127" s="50"/>
    </row>
    <row r="128" spans="2:19" x14ac:dyDescent="0.25">
      <c r="B128" s="32"/>
      <c r="C128" s="33" t="s">
        <v>51</v>
      </c>
      <c r="D128" s="34">
        <v>106</v>
      </c>
      <c r="E128" s="35">
        <f>27.97+36.26</f>
        <v>64.22999999999999</v>
      </c>
      <c r="F128" s="27">
        <f t="shared" si="43"/>
        <v>3.8421505993826717E-2</v>
      </c>
      <c r="G128" s="28">
        <f>SUM(E129:E$132)/$E$133</f>
        <v>0.16021223649893523</v>
      </c>
      <c r="J128" s="48">
        <f>SUM($F$107:F114)</f>
        <v>0.67535753225994255</v>
      </c>
      <c r="K128" s="48">
        <f t="shared" si="44"/>
        <v>0.32464246774005745</v>
      </c>
      <c r="L128" s="48">
        <f>SUM($F$121:F128)</f>
        <v>0.83978776350106499</v>
      </c>
      <c r="M128" s="48">
        <v>1</v>
      </c>
      <c r="N128" s="20">
        <f t="shared" si="45"/>
        <v>0.19579974654026253</v>
      </c>
      <c r="O128" s="49">
        <f t="shared" si="46"/>
        <v>0.80420025345973745</v>
      </c>
      <c r="P128" s="20">
        <f t="shared" si="47"/>
        <v>0.60312425513300427</v>
      </c>
      <c r="Q128" s="20">
        <f t="shared" si="48"/>
        <v>1</v>
      </c>
      <c r="R128" s="50">
        <f t="shared" si="49"/>
        <v>0.8711572788002051</v>
      </c>
      <c r="S128" s="50"/>
    </row>
    <row r="129" spans="2:23" x14ac:dyDescent="0.25">
      <c r="B129" s="32"/>
      <c r="C129" s="33" t="s">
        <v>52</v>
      </c>
      <c r="D129" s="34">
        <v>75</v>
      </c>
      <c r="E129" s="35">
        <f>17.87+26.32</f>
        <v>44.19</v>
      </c>
      <c r="F129" s="27">
        <f t="shared" si="43"/>
        <v>2.6433852559040988E-2</v>
      </c>
      <c r="G129" s="28">
        <f>SUM(E130:E$132)/$E$133</f>
        <v>0.13377838393989425</v>
      </c>
      <c r="J129" s="48">
        <f>SUM($F$107:F115)</f>
        <v>0.73742153344554173</v>
      </c>
      <c r="K129" s="48">
        <f t="shared" si="44"/>
        <v>0.26257846655445827</v>
      </c>
      <c r="L129" s="48">
        <f>SUM($F$121:F129)</f>
        <v>0.86622161606010595</v>
      </c>
      <c r="M129" s="48">
        <v>1</v>
      </c>
      <c r="N129" s="20">
        <f t="shared" si="45"/>
        <v>0.1486918361612751</v>
      </c>
      <c r="O129" s="49">
        <f t="shared" si="46"/>
        <v>0.85130816383872487</v>
      </c>
      <c r="P129" s="20">
        <f t="shared" si="47"/>
        <v>0.56627581885293976</v>
      </c>
      <c r="Q129" s="20">
        <f t="shared" si="48"/>
        <v>1</v>
      </c>
      <c r="R129" s="50">
        <f t="shared" si="49"/>
        <v>0.88611336960681686</v>
      </c>
      <c r="S129" s="50"/>
    </row>
    <row r="130" spans="2:23" x14ac:dyDescent="0.25">
      <c r="B130" s="32"/>
      <c r="C130" s="33" t="s">
        <v>53</v>
      </c>
      <c r="D130" s="34">
        <v>53</v>
      </c>
      <c r="E130" s="35">
        <f>13.96+24.22</f>
        <v>38.18</v>
      </c>
      <c r="F130" s="27">
        <f t="shared" si="43"/>
        <v>2.2838752901203553E-2</v>
      </c>
      <c r="G130" s="28">
        <f>SUM(E131:E$132)/$E$133</f>
        <v>0.11093963103869069</v>
      </c>
      <c r="J130" s="48">
        <f>SUM($F$107:F116)</f>
        <v>0.78294007431166435</v>
      </c>
      <c r="K130" s="48">
        <f t="shared" si="44"/>
        <v>0.21705992568833565</v>
      </c>
      <c r="L130" s="48">
        <f>SUM($F$121:F130)</f>
        <v>0.88906036896130947</v>
      </c>
      <c r="M130" s="48">
        <v>1</v>
      </c>
      <c r="N130" s="20">
        <f t="shared" si="45"/>
        <v>0.11936230469211626</v>
      </c>
      <c r="O130" s="49">
        <f t="shared" si="46"/>
        <v>0.88063769530788372</v>
      </c>
      <c r="P130" s="20">
        <f t="shared" si="47"/>
        <v>0.54990484454280142</v>
      </c>
      <c r="Q130" s="20">
        <f t="shared" si="48"/>
        <v>1</v>
      </c>
      <c r="R130" s="50">
        <f t="shared" si="49"/>
        <v>0.90230237900378063</v>
      </c>
      <c r="S130" s="50"/>
    </row>
    <row r="131" spans="2:23" x14ac:dyDescent="0.25">
      <c r="B131" s="32"/>
      <c r="C131" s="33" t="s">
        <v>54</v>
      </c>
      <c r="D131" s="34">
        <v>38</v>
      </c>
      <c r="E131" s="35">
        <f>10.49+20.33</f>
        <v>30.82</v>
      </c>
      <c r="F131" s="27">
        <f t="shared" si="43"/>
        <v>1.843610173952576E-2</v>
      </c>
      <c r="G131" s="28">
        <f>SUM(E132:E$132)/$E$133</f>
        <v>9.250352929916493E-2</v>
      </c>
      <c r="J131" s="48">
        <f>SUM($F$107:F117)</f>
        <v>0.82419257518498523</v>
      </c>
      <c r="K131" s="48">
        <f t="shared" si="44"/>
        <v>0.17580742481501477</v>
      </c>
      <c r="L131" s="48">
        <f>SUM($F$121:F131)</f>
        <v>0.90749647070083528</v>
      </c>
      <c r="M131" s="48">
        <v>1</v>
      </c>
      <c r="N131" s="20">
        <f t="shared" si="45"/>
        <v>9.1795283183323764E-2</v>
      </c>
      <c r="O131" s="49">
        <f t="shared" si="46"/>
        <v>0.90820471681667625</v>
      </c>
      <c r="P131" s="20">
        <f t="shared" si="47"/>
        <v>0.52213541765890215</v>
      </c>
      <c r="Q131" s="20">
        <f t="shared" si="48"/>
        <v>1</v>
      </c>
      <c r="R131" s="50">
        <f t="shared" si="49"/>
        <v>0.91598785836830898</v>
      </c>
      <c r="S131" s="50"/>
      <c r="T131" s="48">
        <f>SUM($F$107:$F$117)</f>
        <v>0.82419257518498523</v>
      </c>
      <c r="U131" s="48">
        <f>SUM(F121:F131)</f>
        <v>0.90749647070083528</v>
      </c>
      <c r="V131" s="20">
        <v>0.7</v>
      </c>
      <c r="W131" s="20">
        <f>U131*(T131-V131)*(1-V131)*(U131-T131)/T131/(U131-V131)^2/(1-T131)</f>
        <v>0.45148133834697041</v>
      </c>
    </row>
    <row r="132" spans="2:23" x14ac:dyDescent="0.25">
      <c r="B132" s="37"/>
      <c r="C132" s="38">
        <v>-38</v>
      </c>
      <c r="D132" s="39"/>
      <c r="E132" s="40">
        <f>7.82+146.82</f>
        <v>154.63999999999999</v>
      </c>
      <c r="F132" s="27">
        <f t="shared" si="43"/>
        <v>9.250352929916493E-2</v>
      </c>
      <c r="G132" s="41"/>
    </row>
    <row r="133" spans="2:23" ht="15.75" thickBot="1" x14ac:dyDescent="0.3">
      <c r="B133" s="42"/>
      <c r="C133" s="43" t="s">
        <v>55</v>
      </c>
      <c r="D133" s="44"/>
      <c r="E133" s="45">
        <f>SUM(E121:E132)</f>
        <v>1671.7199999999998</v>
      </c>
      <c r="F133" s="27">
        <f t="shared" si="43"/>
        <v>1</v>
      </c>
      <c r="G133" s="45"/>
    </row>
    <row r="134" spans="2:23" ht="30.75" thickBot="1" x14ac:dyDescent="0.3">
      <c r="B134" s="21" t="s">
        <v>23</v>
      </c>
      <c r="C134" s="173" t="s">
        <v>24</v>
      </c>
      <c r="D134" s="174"/>
      <c r="E134" s="22" t="s">
        <v>25</v>
      </c>
      <c r="F134" s="23" t="s">
        <v>26</v>
      </c>
      <c r="G134" s="22" t="s">
        <v>27</v>
      </c>
    </row>
    <row r="135" spans="2:23" ht="38.25" thickTop="1" x14ac:dyDescent="0.25">
      <c r="B135" s="10" t="s">
        <v>17</v>
      </c>
      <c r="C135" s="24" t="s">
        <v>43</v>
      </c>
      <c r="D135" s="25">
        <v>1180</v>
      </c>
      <c r="E135" s="26">
        <f>34.15+26.5</f>
        <v>60.65</v>
      </c>
      <c r="F135" s="27">
        <f>E135/$E$147</f>
        <v>4.9240886579524239E-2</v>
      </c>
      <c r="G135" s="28">
        <f>SUM(E136:E$146)/$E$147</f>
        <v>0.95075911342047592</v>
      </c>
    </row>
    <row r="136" spans="2:23" x14ac:dyDescent="0.25">
      <c r="B136" s="29" t="s">
        <v>44</v>
      </c>
      <c r="C136" s="25" t="s">
        <v>45</v>
      </c>
      <c r="D136" s="25">
        <v>600</v>
      </c>
      <c r="E136" s="26">
        <f>121.25+106.83</f>
        <v>228.07999999999998</v>
      </c>
      <c r="F136" s="27">
        <f t="shared" ref="F136:F147" si="50">E136/$E$147</f>
        <v>0.18517496143541448</v>
      </c>
      <c r="G136" s="28">
        <f>SUM(E137:E$146)/$E$147</f>
        <v>0.76558415198506136</v>
      </c>
    </row>
    <row r="137" spans="2:23" x14ac:dyDescent="0.25">
      <c r="B137" s="31">
        <f>FORECAST(0.8,D135:D136,G135:G136)</f>
        <v>707.79638723254993</v>
      </c>
      <c r="C137" s="25" t="s">
        <v>46</v>
      </c>
      <c r="D137" s="25">
        <v>425</v>
      </c>
      <c r="E137" s="26">
        <f>153.22+127.51</f>
        <v>280.73</v>
      </c>
      <c r="F137" s="27">
        <f t="shared" si="50"/>
        <v>0.22792075992530653</v>
      </c>
      <c r="G137" s="28">
        <f>SUM(E138:E$146)/$E$147</f>
        <v>0.537663392059755</v>
      </c>
    </row>
    <row r="138" spans="2:23" x14ac:dyDescent="0.25">
      <c r="B138" s="32"/>
      <c r="C138" s="25" t="s">
        <v>47</v>
      </c>
      <c r="D138" s="25">
        <v>300</v>
      </c>
      <c r="E138" s="26">
        <f>188.51+161.3</f>
        <v>349.81</v>
      </c>
      <c r="F138" s="27">
        <f t="shared" si="50"/>
        <v>0.28400584557928071</v>
      </c>
      <c r="G138" s="28">
        <f>SUM(E139:E$146)/$E$147</f>
        <v>0.25365754648047417</v>
      </c>
      <c r="H138" s="30"/>
      <c r="J138" s="48">
        <f>J124</f>
        <v>0.35468470471169822</v>
      </c>
      <c r="K138" s="48">
        <f>1-J138</f>
        <v>0.64531529528830178</v>
      </c>
      <c r="L138" s="48">
        <f>SUM($F$135:F138)</f>
        <v>0.74634245351952599</v>
      </c>
      <c r="M138" s="48">
        <v>1</v>
      </c>
      <c r="N138" s="20">
        <f>+(L138-J138)/(L138+M138-1)</f>
        <v>0.52476949014609564</v>
      </c>
      <c r="O138" s="49">
        <f>1-N138</f>
        <v>0.47523050985390436</v>
      </c>
      <c r="P138" s="20">
        <f>+N138*M138/K138</f>
        <v>0.81319859296322594</v>
      </c>
      <c r="Q138" s="20">
        <f>+O138*L138/J138</f>
        <v>1.0000000000000002</v>
      </c>
      <c r="R138" s="50">
        <f>+N138*M138+O138*L138</f>
        <v>0.87945419485779386</v>
      </c>
      <c r="S138" s="50"/>
    </row>
    <row r="139" spans="2:23" x14ac:dyDescent="0.25">
      <c r="B139" s="32"/>
      <c r="C139" s="33" t="s">
        <v>48</v>
      </c>
      <c r="D139" s="34">
        <v>212</v>
      </c>
      <c r="E139" s="35">
        <f>83.35+77.27</f>
        <v>160.62</v>
      </c>
      <c r="F139" s="27">
        <f t="shared" si="50"/>
        <v>0.13040513111959084</v>
      </c>
      <c r="G139" s="28">
        <f>SUM(E140:E$146)/$E$147</f>
        <v>0.12325241536088336</v>
      </c>
      <c r="H139" s="36">
        <f>SUM(F140:F146)*100</f>
        <v>12.325241536088335</v>
      </c>
      <c r="I139" s="30">
        <f>($I$194-H139)/($I$194*(100-H139))*10000</f>
        <v>86.190753972507068</v>
      </c>
      <c r="J139" s="48">
        <f t="shared" ref="J139:J145" si="51">J125</f>
        <v>0.49797283707538076</v>
      </c>
      <c r="K139" s="48">
        <f t="shared" ref="K139:K145" si="52">1-J139</f>
        <v>0.50202716292461924</v>
      </c>
      <c r="L139" s="48">
        <f>SUM($F$135:F139)</f>
        <v>0.87674758463911684</v>
      </c>
      <c r="M139" s="53">
        <v>0.87239999999999995</v>
      </c>
      <c r="N139" s="20">
        <f t="shared" ref="N139:N145" si="53">+(L139-J139)/(L139+M139-1)</f>
        <v>0.50560764705155037</v>
      </c>
      <c r="O139" s="49">
        <f t="shared" ref="O139:O145" si="54">1-N139</f>
        <v>0.49439235294844963</v>
      </c>
      <c r="P139" s="20">
        <f t="shared" ref="P139:P145" si="55">+N139*M139/K139</f>
        <v>0.87862200267837642</v>
      </c>
      <c r="Q139" s="20">
        <f t="shared" ref="Q139:Q145" si="56">+O139*L139/J139</f>
        <v>0.87044366487401059</v>
      </c>
      <c r="R139" s="50">
        <f t="shared" ref="R139:R145" si="57">+N139*M139+O139*L139</f>
        <v>0.87454941259937558</v>
      </c>
      <c r="S139" s="50"/>
    </row>
    <row r="140" spans="2:23" x14ac:dyDescent="0.25">
      <c r="B140" s="32"/>
      <c r="C140" s="33" t="s">
        <v>49</v>
      </c>
      <c r="D140" s="34">
        <v>180</v>
      </c>
      <c r="E140" s="35">
        <f>10.67+9.99</f>
        <v>20.66</v>
      </c>
      <c r="F140" s="27">
        <f t="shared" si="50"/>
        <v>1.6773564991475198E-2</v>
      </c>
      <c r="G140" s="28">
        <f>SUM(E141:E$146)/$E$147</f>
        <v>0.10647885036940816</v>
      </c>
      <c r="J140" s="48">
        <f t="shared" si="51"/>
        <v>0.53475816951951471</v>
      </c>
      <c r="K140" s="48">
        <f t="shared" si="52"/>
        <v>0.46524183048048529</v>
      </c>
      <c r="L140" s="48">
        <f>SUM($F$135:F140)</f>
        <v>0.89352114963059204</v>
      </c>
      <c r="M140" s="48">
        <v>1</v>
      </c>
      <c r="N140" s="20">
        <f t="shared" si="53"/>
        <v>0.40151593530763147</v>
      </c>
      <c r="O140" s="49">
        <f t="shared" si="54"/>
        <v>0.59848406469236859</v>
      </c>
      <c r="P140" s="20">
        <f t="shared" si="55"/>
        <v>0.86302629944723597</v>
      </c>
      <c r="Q140" s="20">
        <f t="shared" si="56"/>
        <v>1.0000000000000002</v>
      </c>
      <c r="R140" s="50">
        <f t="shared" si="57"/>
        <v>0.93627410482714635</v>
      </c>
      <c r="S140" s="50"/>
    </row>
    <row r="141" spans="2:23" x14ac:dyDescent="0.25">
      <c r="B141" s="32"/>
      <c r="C141" s="33" t="s">
        <v>50</v>
      </c>
      <c r="D141" s="34">
        <v>150</v>
      </c>
      <c r="E141" s="35">
        <f>11.28+11.24</f>
        <v>22.52</v>
      </c>
      <c r="F141" s="27">
        <f t="shared" si="50"/>
        <v>1.8283672972314688E-2</v>
      </c>
      <c r="G141" s="28">
        <f>SUM(E142:E$146)/$E$147</f>
        <v>8.8195177397093455E-2</v>
      </c>
      <c r="J141" s="48">
        <f t="shared" si="51"/>
        <v>0.59484264346279647</v>
      </c>
      <c r="K141" s="48">
        <f t="shared" si="52"/>
        <v>0.40515735653720353</v>
      </c>
      <c r="L141" s="48">
        <f>SUM($F$135:F141)</f>
        <v>0.91180482260290674</v>
      </c>
      <c r="M141" s="48">
        <v>1</v>
      </c>
      <c r="N141" s="20">
        <f t="shared" si="53"/>
        <v>0.34762064345666233</v>
      </c>
      <c r="O141" s="49">
        <f t="shared" si="54"/>
        <v>0.65237935654333767</v>
      </c>
      <c r="P141" s="20">
        <f t="shared" si="55"/>
        <v>0.85798921788735216</v>
      </c>
      <c r="Q141" s="20">
        <f t="shared" si="56"/>
        <v>1</v>
      </c>
      <c r="R141" s="50">
        <f t="shared" si="57"/>
        <v>0.9424632869194588</v>
      </c>
      <c r="S141" s="50"/>
    </row>
    <row r="142" spans="2:23" x14ac:dyDescent="0.25">
      <c r="B142" s="32"/>
      <c r="C142" s="33" t="s">
        <v>51</v>
      </c>
      <c r="D142" s="34">
        <v>106</v>
      </c>
      <c r="E142" s="51">
        <f>10.18+11.63</f>
        <v>21.810000000000002</v>
      </c>
      <c r="F142" s="27">
        <f t="shared" si="50"/>
        <v>1.7707233904359833E-2</v>
      </c>
      <c r="G142" s="28">
        <f>SUM(E143:E$146)/$E$147</f>
        <v>7.0487943492733629E-2</v>
      </c>
      <c r="J142" s="48">
        <f t="shared" si="51"/>
        <v>0.67535753225994255</v>
      </c>
      <c r="K142" s="48">
        <f t="shared" si="52"/>
        <v>0.32464246774005745</v>
      </c>
      <c r="L142" s="48">
        <f>SUM($F$135:F142)</f>
        <v>0.92951205650726654</v>
      </c>
      <c r="M142" s="48">
        <v>1</v>
      </c>
      <c r="N142" s="20">
        <f t="shared" si="53"/>
        <v>0.27342789420326052</v>
      </c>
      <c r="O142" s="49">
        <f t="shared" si="54"/>
        <v>0.72657210579673948</v>
      </c>
      <c r="P142" s="20">
        <f t="shared" si="55"/>
        <v>0.84224314861417127</v>
      </c>
      <c r="Q142" s="20">
        <f t="shared" si="56"/>
        <v>1</v>
      </c>
      <c r="R142" s="50">
        <f t="shared" si="57"/>
        <v>0.94878542646320307</v>
      </c>
      <c r="S142" s="50"/>
    </row>
    <row r="143" spans="2:23" x14ac:dyDescent="0.25">
      <c r="B143" s="32"/>
      <c r="C143" s="33" t="s">
        <v>52</v>
      </c>
      <c r="D143" s="34">
        <v>75</v>
      </c>
      <c r="E143" s="35">
        <f>4.97+7.26</f>
        <v>12.23</v>
      </c>
      <c r="F143" s="27">
        <f t="shared" si="50"/>
        <v>9.9293659170252516E-3</v>
      </c>
      <c r="G143" s="28">
        <f>SUM(E144:E$146)/$E$147</f>
        <v>6.0558577575708379E-2</v>
      </c>
      <c r="J143" s="48">
        <f t="shared" si="51"/>
        <v>0.73742153344554173</v>
      </c>
      <c r="K143" s="48">
        <f t="shared" si="52"/>
        <v>0.26257846655445827</v>
      </c>
      <c r="L143" s="48">
        <f>SUM($F$135:F143)</f>
        <v>0.93944142242429174</v>
      </c>
      <c r="M143" s="48">
        <v>1</v>
      </c>
      <c r="N143" s="20">
        <f t="shared" si="53"/>
        <v>0.2150425605647919</v>
      </c>
      <c r="O143" s="49">
        <f t="shared" si="54"/>
        <v>0.78495743943520813</v>
      </c>
      <c r="P143" s="20">
        <f t="shared" si="55"/>
        <v>0.81896494935997532</v>
      </c>
      <c r="Q143" s="20">
        <f t="shared" si="56"/>
        <v>1</v>
      </c>
      <c r="R143" s="50">
        <f t="shared" si="57"/>
        <v>0.95246409401033361</v>
      </c>
      <c r="S143" s="50"/>
    </row>
    <row r="144" spans="2:23" x14ac:dyDescent="0.25">
      <c r="B144" s="32"/>
      <c r="C144" s="33" t="s">
        <v>53</v>
      </c>
      <c r="D144" s="34">
        <v>53</v>
      </c>
      <c r="E144" s="35">
        <f>3.2+6.16</f>
        <v>9.36</v>
      </c>
      <c r="F144" s="27">
        <f t="shared" si="50"/>
        <v>7.5992530648696932E-3</v>
      </c>
      <c r="G144" s="28">
        <f>SUM(E145:E$146)/$E$147</f>
        <v>5.2959324510838686E-2</v>
      </c>
      <c r="J144" s="48">
        <f t="shared" si="51"/>
        <v>0.78294007431166435</v>
      </c>
      <c r="K144" s="48">
        <f t="shared" si="52"/>
        <v>0.21705992568833565</v>
      </c>
      <c r="L144" s="48">
        <f>SUM($F$135:F144)</f>
        <v>0.94704067548916138</v>
      </c>
      <c r="M144" s="48">
        <v>1</v>
      </c>
      <c r="N144" s="20">
        <f t="shared" si="53"/>
        <v>0.17327724713908038</v>
      </c>
      <c r="O144" s="49">
        <f t="shared" si="54"/>
        <v>0.82672275286091956</v>
      </c>
      <c r="P144" s="20">
        <f t="shared" si="55"/>
        <v>0.79829220704645221</v>
      </c>
      <c r="Q144" s="20">
        <f t="shared" si="56"/>
        <v>0.99999999999999989</v>
      </c>
      <c r="R144" s="50">
        <f t="shared" si="57"/>
        <v>0.95621732145074456</v>
      </c>
      <c r="S144" s="50"/>
    </row>
    <row r="145" spans="2:23" x14ac:dyDescent="0.25">
      <c r="B145" s="32"/>
      <c r="C145" s="33" t="s">
        <v>54</v>
      </c>
      <c r="D145" s="34">
        <v>38</v>
      </c>
      <c r="E145" s="35">
        <f>3+5.41</f>
        <v>8.41</v>
      </c>
      <c r="F145" s="27">
        <f t="shared" si="50"/>
        <v>6.8279613542258678E-3</v>
      </c>
      <c r="G145" s="28">
        <f>SUM(E146:E$146)/$E$147</f>
        <v>4.6131363156612822E-2</v>
      </c>
      <c r="J145" s="48">
        <f t="shared" si="51"/>
        <v>0.82419257518498523</v>
      </c>
      <c r="K145" s="48">
        <f t="shared" si="52"/>
        <v>0.17580742481501477</v>
      </c>
      <c r="L145" s="48">
        <f>SUM($F$135:F145)</f>
        <v>0.9538686368433873</v>
      </c>
      <c r="M145" s="48">
        <v>1</v>
      </c>
      <c r="N145" s="20">
        <f t="shared" si="53"/>
        <v>0.13594750540025688</v>
      </c>
      <c r="O145" s="49">
        <f t="shared" si="54"/>
        <v>0.86405249459974309</v>
      </c>
      <c r="P145" s="20">
        <f t="shared" si="55"/>
        <v>0.77327510793870824</v>
      </c>
      <c r="Q145" s="20">
        <f t="shared" si="56"/>
        <v>1</v>
      </c>
      <c r="R145" s="50">
        <f t="shared" si="57"/>
        <v>0.96014008058524214</v>
      </c>
      <c r="S145" s="50"/>
      <c r="T145" s="48">
        <f>SUM($F$107:$F$117)</f>
        <v>0.82419257518498523</v>
      </c>
      <c r="U145" s="48">
        <f>SUM(F135:F145)</f>
        <v>0.9538686368433873</v>
      </c>
      <c r="V145" s="20">
        <v>0.7</v>
      </c>
      <c r="W145" s="20">
        <f>U145*(T145-V145)*(1-V145)*(U145-T145)/T145/(U145-V145)^2/(1-T145)</f>
        <v>0.493493295012987</v>
      </c>
    </row>
    <row r="146" spans="2:23" x14ac:dyDescent="0.25">
      <c r="B146" s="37"/>
      <c r="C146" s="38">
        <v>-38</v>
      </c>
      <c r="D146" s="39"/>
      <c r="E146" s="40">
        <f>1.47+55.35</f>
        <v>56.82</v>
      </c>
      <c r="F146" s="27">
        <f t="shared" si="50"/>
        <v>4.6131363156612822E-2</v>
      </c>
      <c r="G146" s="41"/>
      <c r="J146" s="35"/>
    </row>
    <row r="147" spans="2:23" ht="15.75" thickBot="1" x14ac:dyDescent="0.3">
      <c r="B147" s="42"/>
      <c r="C147" s="43" t="s">
        <v>55</v>
      </c>
      <c r="D147" s="44"/>
      <c r="E147" s="45">
        <f>SUM(E135:E146)</f>
        <v>1231.6999999999998</v>
      </c>
      <c r="F147" s="27">
        <f t="shared" si="50"/>
        <v>1</v>
      </c>
      <c r="G147" s="45"/>
      <c r="J147" s="35"/>
    </row>
    <row r="148" spans="2:23" ht="30.75" thickBot="1" x14ac:dyDescent="0.3">
      <c r="B148" s="21" t="s">
        <v>23</v>
      </c>
      <c r="C148" s="173" t="s">
        <v>24</v>
      </c>
      <c r="D148" s="174"/>
      <c r="E148" s="22" t="s">
        <v>25</v>
      </c>
      <c r="F148" s="23" t="s">
        <v>26</v>
      </c>
      <c r="G148" s="22" t="s">
        <v>27</v>
      </c>
      <c r="J148" s="35"/>
    </row>
    <row r="149" spans="2:23" ht="38.25" thickTop="1" x14ac:dyDescent="0.25">
      <c r="B149" s="10" t="s">
        <v>18</v>
      </c>
      <c r="C149" s="24" t="s">
        <v>43</v>
      </c>
      <c r="D149" s="25">
        <v>1180</v>
      </c>
      <c r="E149" s="26">
        <v>13.62</v>
      </c>
      <c r="F149" s="27">
        <f>E149/$E$161</f>
        <v>2.7346651942576041E-2</v>
      </c>
      <c r="G149" s="28">
        <f>SUM(E150:E$160)/$E$161</f>
        <v>0.97265334805742398</v>
      </c>
      <c r="J149" s="35"/>
    </row>
    <row r="150" spans="2:23" x14ac:dyDescent="0.25">
      <c r="B150" s="29" t="s">
        <v>44</v>
      </c>
      <c r="C150" s="25" t="s">
        <v>45</v>
      </c>
      <c r="D150" s="25">
        <v>600</v>
      </c>
      <c r="E150" s="26">
        <v>75.67</v>
      </c>
      <c r="F150" s="27">
        <f t="shared" ref="F150:F161" si="58">E150/$E$161</f>
        <v>0.15193253689388614</v>
      </c>
      <c r="G150" s="28">
        <f>SUM(E151:E$160)/$E$161</f>
        <v>0.82072081116353779</v>
      </c>
      <c r="J150" s="35"/>
    </row>
    <row r="151" spans="2:23" x14ac:dyDescent="0.25">
      <c r="B151" s="31">
        <f>FORECAST(0.8,D150:D151,G150:G151)</f>
        <v>585.16754270696447</v>
      </c>
      <c r="C151" s="25" t="s">
        <v>46</v>
      </c>
      <c r="D151" s="25">
        <v>425</v>
      </c>
      <c r="E151" s="26">
        <v>121.76</v>
      </c>
      <c r="F151" s="27">
        <f t="shared" si="58"/>
        <v>0.24447344644112035</v>
      </c>
      <c r="G151" s="28">
        <f>SUM(E152:E$160)/$E$161</f>
        <v>0.57624736472241744</v>
      </c>
      <c r="J151" s="35"/>
    </row>
    <row r="152" spans="2:23" x14ac:dyDescent="0.25">
      <c r="B152" s="32"/>
      <c r="C152" s="25" t="s">
        <v>47</v>
      </c>
      <c r="D152" s="25">
        <v>300</v>
      </c>
      <c r="E152" s="26">
        <v>165.18</v>
      </c>
      <c r="F152" s="27">
        <f t="shared" si="58"/>
        <v>0.33165344844895089</v>
      </c>
      <c r="G152" s="28">
        <f>SUM(E153:E$160)/$E$161</f>
        <v>0.24459391627346647</v>
      </c>
      <c r="H152" s="30"/>
      <c r="J152" s="75">
        <f>J138</f>
        <v>0.35468470471169822</v>
      </c>
      <c r="K152" s="48">
        <f>1-J152</f>
        <v>0.64531529528830178</v>
      </c>
      <c r="L152" s="48">
        <f>SUM($F$149:F152)</f>
        <v>0.75540608372653351</v>
      </c>
      <c r="M152" s="48">
        <v>1</v>
      </c>
      <c r="N152" s="20">
        <f>+(L152-J152)/(L152+M152-1)</f>
        <v>0.53047147441282916</v>
      </c>
      <c r="O152" s="49">
        <f>1-N152</f>
        <v>0.46952852558717084</v>
      </c>
      <c r="P152" s="20">
        <f>+N152*M152/K152</f>
        <v>0.8220345593634738</v>
      </c>
      <c r="Q152" s="20">
        <f>+O152*L152/J152</f>
        <v>1</v>
      </c>
      <c r="R152" s="50">
        <f>+N152*M152+O152*L152</f>
        <v>0.88515617912452738</v>
      </c>
      <c r="S152" s="50"/>
    </row>
    <row r="153" spans="2:23" x14ac:dyDescent="0.25">
      <c r="B153" s="32"/>
      <c r="C153" s="33" t="s">
        <v>48</v>
      </c>
      <c r="D153" s="34">
        <v>212</v>
      </c>
      <c r="E153" s="35">
        <v>77.430000000000007</v>
      </c>
      <c r="F153" s="27">
        <f t="shared" si="58"/>
        <v>0.15546631864270655</v>
      </c>
      <c r="G153" s="28">
        <f>SUM(E154:E$160)/$E$161</f>
        <v>8.9127597630759947E-2</v>
      </c>
      <c r="H153" s="36">
        <f>SUM(F154:F160)*100</f>
        <v>8.9127597630759947</v>
      </c>
      <c r="I153" s="30">
        <f>($I$194-H153)/($I$194*(100-H153))*10000</f>
        <v>90.388221303060973</v>
      </c>
      <c r="J153" s="75">
        <f t="shared" ref="J153:J159" si="59">J139</f>
        <v>0.49797283707538076</v>
      </c>
      <c r="K153" s="48">
        <f t="shared" ref="K153:K159" si="60">1-J153</f>
        <v>0.50202716292461924</v>
      </c>
      <c r="L153" s="48">
        <f>SUM($F$149:F153)</f>
        <v>0.91087240236924005</v>
      </c>
      <c r="M153" s="53">
        <v>0.87239999999999995</v>
      </c>
      <c r="N153" s="20">
        <f t="shared" ref="N153:N159" si="61">+(L153-J153)/(L153+M153-1)</f>
        <v>0.52714683173430088</v>
      </c>
      <c r="O153" s="49">
        <f t="shared" ref="O153:O159" si="62">1-N153</f>
        <v>0.47285316826569912</v>
      </c>
      <c r="P153" s="20">
        <f t="shared" ref="P153:P159" si="63">+N153*M153/K153</f>
        <v>0.91605181943921377</v>
      </c>
      <c r="Q153" s="20">
        <f t="shared" ref="Q153:Q159" si="64">+O153*L153/J153</f>
        <v>0.86492448840313996</v>
      </c>
      <c r="R153" s="50">
        <f t="shared" ref="R153:R159" si="65">+N153*M153+O153*L153</f>
        <v>0.89059179735108795</v>
      </c>
      <c r="S153" s="50"/>
    </row>
    <row r="154" spans="2:23" x14ac:dyDescent="0.25">
      <c r="B154" s="32"/>
      <c r="C154" s="33" t="s">
        <v>49</v>
      </c>
      <c r="D154" s="34">
        <v>180</v>
      </c>
      <c r="E154" s="35">
        <v>7.31</v>
      </c>
      <c r="F154" s="27">
        <f t="shared" si="58"/>
        <v>1.4677241240839271E-2</v>
      </c>
      <c r="G154" s="28">
        <f>SUM(E155:E$160)/$E$161</f>
        <v>7.4450356389920674E-2</v>
      </c>
      <c r="J154" s="75">
        <f t="shared" si="59"/>
        <v>0.53475816951951471</v>
      </c>
      <c r="K154" s="48">
        <f t="shared" si="60"/>
        <v>0.46524183048048529</v>
      </c>
      <c r="L154" s="48">
        <f>SUM($F$149:F154)</f>
        <v>0.9255496436100793</v>
      </c>
      <c r="M154" s="48">
        <v>1</v>
      </c>
      <c r="N154" s="20">
        <f t="shared" si="61"/>
        <v>0.42222637844286115</v>
      </c>
      <c r="O154" s="49">
        <f t="shared" si="62"/>
        <v>0.57777362155713885</v>
      </c>
      <c r="P154" s="20">
        <f t="shared" si="63"/>
        <v>0.90754173588991494</v>
      </c>
      <c r="Q154" s="20">
        <f t="shared" si="64"/>
        <v>1</v>
      </c>
      <c r="R154" s="50">
        <f t="shared" si="65"/>
        <v>0.95698454796237586</v>
      </c>
      <c r="S154" s="50"/>
    </row>
    <row r="155" spans="2:23" x14ac:dyDescent="0.25">
      <c r="B155" s="32"/>
      <c r="C155" s="33" t="s">
        <v>50</v>
      </c>
      <c r="D155" s="34">
        <v>150</v>
      </c>
      <c r="E155" s="35">
        <v>6.1</v>
      </c>
      <c r="F155" s="27">
        <f t="shared" si="58"/>
        <v>1.2247766288525246E-2</v>
      </c>
      <c r="G155" s="28">
        <f>SUM(E156:E$160)/$E$161</f>
        <v>6.2202590101395436E-2</v>
      </c>
      <c r="J155" s="75">
        <f t="shared" si="59"/>
        <v>0.59484264346279647</v>
      </c>
      <c r="K155" s="48">
        <f t="shared" si="60"/>
        <v>0.40515735653720353</v>
      </c>
      <c r="L155" s="48">
        <f>SUM($F$149:F155)</f>
        <v>0.93779740989860449</v>
      </c>
      <c r="M155" s="48">
        <v>1</v>
      </c>
      <c r="N155" s="20">
        <f t="shared" si="61"/>
        <v>0.36570240311592306</v>
      </c>
      <c r="O155" s="49">
        <f t="shared" si="62"/>
        <v>0.63429759688407694</v>
      </c>
      <c r="P155" s="20">
        <f t="shared" si="63"/>
        <v>0.90261819812802158</v>
      </c>
      <c r="Q155" s="20">
        <f t="shared" si="64"/>
        <v>1</v>
      </c>
      <c r="R155" s="50">
        <f t="shared" si="65"/>
        <v>0.96054504657871953</v>
      </c>
      <c r="S155" s="50"/>
    </row>
    <row r="156" spans="2:23" x14ac:dyDescent="0.25">
      <c r="B156" s="32"/>
      <c r="C156" s="33" t="s">
        <v>51</v>
      </c>
      <c r="D156" s="34">
        <v>106</v>
      </c>
      <c r="E156" s="35">
        <v>5.22</v>
      </c>
      <c r="F156" s="27">
        <f t="shared" si="58"/>
        <v>1.0480875414115047E-2</v>
      </c>
      <c r="G156" s="28">
        <f>SUM(E157:E$160)/$E$161</f>
        <v>5.172171468728038E-2</v>
      </c>
      <c r="J156" s="75">
        <f t="shared" si="59"/>
        <v>0.67535753225994255</v>
      </c>
      <c r="K156" s="48">
        <f t="shared" si="60"/>
        <v>0.32464246774005745</v>
      </c>
      <c r="L156" s="48">
        <f>SUM($F$149:F156)</f>
        <v>0.94827828531271952</v>
      </c>
      <c r="M156" s="48">
        <v>1</v>
      </c>
      <c r="N156" s="20">
        <f t="shared" si="61"/>
        <v>0.28780660411597875</v>
      </c>
      <c r="O156" s="49">
        <f t="shared" si="62"/>
        <v>0.7121933958840212</v>
      </c>
      <c r="P156" s="20">
        <f t="shared" si="63"/>
        <v>0.88653405735698965</v>
      </c>
      <c r="Q156" s="20">
        <f t="shared" si="64"/>
        <v>0.99999999999999989</v>
      </c>
      <c r="R156" s="50">
        <f t="shared" si="65"/>
        <v>0.96316413637592113</v>
      </c>
      <c r="S156" s="50"/>
    </row>
    <row r="157" spans="2:23" x14ac:dyDescent="0.25">
      <c r="B157" s="32"/>
      <c r="C157" s="33" t="s">
        <v>52</v>
      </c>
      <c r="D157" s="34">
        <v>75</v>
      </c>
      <c r="E157" s="35">
        <v>2.62</v>
      </c>
      <c r="F157" s="27">
        <f t="shared" si="58"/>
        <v>5.2605160124485489E-3</v>
      </c>
      <c r="G157" s="28">
        <f>SUM(E158:E$160)/$E$161</f>
        <v>4.6461198674831838E-2</v>
      </c>
      <c r="J157" s="75">
        <f t="shared" si="59"/>
        <v>0.73742153344554173</v>
      </c>
      <c r="K157" s="48">
        <f t="shared" si="60"/>
        <v>0.26257846655445827</v>
      </c>
      <c r="L157" s="48">
        <f>SUM($F$149:F157)</f>
        <v>0.95353880132516811</v>
      </c>
      <c r="M157" s="48">
        <v>1</v>
      </c>
      <c r="N157" s="20">
        <f t="shared" si="61"/>
        <v>0.22664758642152816</v>
      </c>
      <c r="O157" s="49">
        <f t="shared" si="62"/>
        <v>0.77335241357847184</v>
      </c>
      <c r="P157" s="20">
        <f t="shared" si="63"/>
        <v>0.86316136047097325</v>
      </c>
      <c r="Q157" s="20">
        <f t="shared" si="64"/>
        <v>1</v>
      </c>
      <c r="R157" s="50">
        <f t="shared" si="65"/>
        <v>0.96406911986706989</v>
      </c>
      <c r="S157" s="50"/>
    </row>
    <row r="158" spans="2:23" x14ac:dyDescent="0.25">
      <c r="B158" s="32"/>
      <c r="C158" s="33" t="s">
        <v>53</v>
      </c>
      <c r="D158" s="34">
        <v>53</v>
      </c>
      <c r="E158" s="35">
        <v>2.46</v>
      </c>
      <c r="F158" s="27">
        <f t="shared" si="58"/>
        <v>4.9392631261921489E-3</v>
      </c>
      <c r="G158" s="28">
        <f>SUM(E159:E$160)/$E$161</f>
        <v>4.1521935548639685E-2</v>
      </c>
      <c r="J158" s="75">
        <f t="shared" si="59"/>
        <v>0.78294007431166435</v>
      </c>
      <c r="K158" s="48">
        <f t="shared" si="60"/>
        <v>0.21705992568833565</v>
      </c>
      <c r="L158" s="48">
        <f>SUM($F$149:F158)</f>
        <v>0.9584780644513603</v>
      </c>
      <c r="M158" s="48">
        <v>1</v>
      </c>
      <c r="N158" s="20">
        <f t="shared" si="61"/>
        <v>0.18314241780814794</v>
      </c>
      <c r="O158" s="49">
        <f t="shared" si="62"/>
        <v>0.81685758219185201</v>
      </c>
      <c r="P158" s="20">
        <f t="shared" si="63"/>
        <v>0.84374127203522598</v>
      </c>
      <c r="Q158" s="20">
        <f t="shared" si="64"/>
        <v>0.99999999999999989</v>
      </c>
      <c r="R158" s="50">
        <f t="shared" si="65"/>
        <v>0.96608249211981212</v>
      </c>
      <c r="S158" s="50"/>
    </row>
    <row r="159" spans="2:23" x14ac:dyDescent="0.25">
      <c r="B159" s="32"/>
      <c r="C159" s="33" t="s">
        <v>54</v>
      </c>
      <c r="D159" s="34">
        <v>38</v>
      </c>
      <c r="E159" s="35">
        <v>1.91</v>
      </c>
      <c r="F159" s="27">
        <f t="shared" si="58"/>
        <v>3.8349563296857739E-3</v>
      </c>
      <c r="G159" s="28">
        <f>SUM(E160:E$160)/$E$161</f>
        <v>3.7686979218953913E-2</v>
      </c>
      <c r="J159" s="75">
        <f t="shared" si="59"/>
        <v>0.82419257518498523</v>
      </c>
      <c r="K159" s="48">
        <f t="shared" si="60"/>
        <v>0.17580742481501477</v>
      </c>
      <c r="L159" s="48">
        <f>SUM($F$149:F159)</f>
        <v>0.96231302078104608</v>
      </c>
      <c r="M159" s="48">
        <v>1</v>
      </c>
      <c r="N159" s="20">
        <f t="shared" si="61"/>
        <v>0.14352964431880758</v>
      </c>
      <c r="O159" s="49">
        <f t="shared" si="62"/>
        <v>0.85647035568119245</v>
      </c>
      <c r="P159" s="20">
        <f t="shared" si="63"/>
        <v>0.81640263185602091</v>
      </c>
      <c r="Q159" s="20">
        <f t="shared" si="64"/>
        <v>1</v>
      </c>
      <c r="R159" s="50">
        <f t="shared" si="65"/>
        <v>0.96772221950379278</v>
      </c>
      <c r="S159" s="50"/>
      <c r="T159" s="48">
        <f>SUM($F$107:$F$117)</f>
        <v>0.82419257518498523</v>
      </c>
      <c r="U159" s="48">
        <f>SUM(F149:F159)</f>
        <v>0.96231302078104608</v>
      </c>
      <c r="V159" s="20">
        <v>0.7</v>
      </c>
      <c r="W159" s="20">
        <f>U159*(T159-V159)*(1-V159)*(U159-T159)/T159/(U159-V159)^2/(1-T159)</f>
        <v>0.4966902240084744</v>
      </c>
    </row>
    <row r="160" spans="2:23" x14ac:dyDescent="0.25">
      <c r="B160" s="37"/>
      <c r="C160" s="38">
        <v>-38</v>
      </c>
      <c r="D160" s="39"/>
      <c r="E160" s="40">
        <v>18.77</v>
      </c>
      <c r="F160" s="27">
        <f t="shared" si="58"/>
        <v>3.7686979218953913E-2</v>
      </c>
      <c r="G160" s="41"/>
    </row>
    <row r="161" spans="2:23" ht="15.75" thickBot="1" x14ac:dyDescent="0.3">
      <c r="B161" s="42"/>
      <c r="C161" s="43" t="s">
        <v>55</v>
      </c>
      <c r="D161" s="44"/>
      <c r="E161" s="45">
        <f>SUM(E149:E160)</f>
        <v>498.05000000000007</v>
      </c>
      <c r="F161" s="27">
        <f t="shared" si="58"/>
        <v>1</v>
      </c>
      <c r="G161" s="45"/>
    </row>
    <row r="162" spans="2:23" ht="30.75" thickBot="1" x14ac:dyDescent="0.3">
      <c r="B162" s="21" t="s">
        <v>23</v>
      </c>
      <c r="C162" s="173" t="s">
        <v>24</v>
      </c>
      <c r="D162" s="174"/>
      <c r="E162" s="22" t="s">
        <v>25</v>
      </c>
      <c r="F162" s="23" t="s">
        <v>26</v>
      </c>
      <c r="G162" s="22" t="s">
        <v>27</v>
      </c>
    </row>
    <row r="163" spans="2:23" ht="38.25" thickTop="1" x14ac:dyDescent="0.25">
      <c r="B163" s="10" t="s">
        <v>19</v>
      </c>
      <c r="C163" s="24" t="s">
        <v>43</v>
      </c>
      <c r="D163" s="25">
        <v>1180</v>
      </c>
      <c r="E163" s="26">
        <f>24.33+16.32</f>
        <v>40.65</v>
      </c>
      <c r="F163" s="27">
        <f>E163/$E$175</f>
        <v>2.6352809993970938E-2</v>
      </c>
      <c r="G163" s="28">
        <f>SUM(E164:E$174)/$E$175</f>
        <v>0.97364719000602895</v>
      </c>
    </row>
    <row r="164" spans="2:23" x14ac:dyDescent="0.25">
      <c r="B164" s="29" t="s">
        <v>44</v>
      </c>
      <c r="C164" s="25" t="s">
        <v>45</v>
      </c>
      <c r="D164" s="25">
        <v>600</v>
      </c>
      <c r="E164" s="26">
        <f>119.26+83.66</f>
        <v>202.92000000000002</v>
      </c>
      <c r="F164" s="27">
        <f t="shared" ref="F164:F175" si="66">E164/$E$175</f>
        <v>0.13155011571898115</v>
      </c>
      <c r="G164" s="28">
        <f>SUM(E165:E$174)/$E$175</f>
        <v>0.84209707428704772</v>
      </c>
    </row>
    <row r="165" spans="2:23" x14ac:dyDescent="0.25">
      <c r="B165" s="31">
        <f>FORECAST(0.8,D164:D165,G164:G165)</f>
        <v>560.37864788535978</v>
      </c>
      <c r="C165" s="25" t="s">
        <v>46</v>
      </c>
      <c r="D165" s="25">
        <v>425</v>
      </c>
      <c r="E165" s="26">
        <f>165.6+121.21</f>
        <v>286.81</v>
      </c>
      <c r="F165" s="27">
        <f t="shared" si="66"/>
        <v>0.18593479543347616</v>
      </c>
      <c r="G165" s="28">
        <f>SUM(E166:E$174)/$E$175</f>
        <v>0.65616227885357159</v>
      </c>
    </row>
    <row r="166" spans="2:23" x14ac:dyDescent="0.25">
      <c r="B166" s="32"/>
      <c r="C166" s="25" t="s">
        <v>47</v>
      </c>
      <c r="D166" s="25">
        <v>300</v>
      </c>
      <c r="E166" s="26">
        <f>222.19+170.32</f>
        <v>392.51</v>
      </c>
      <c r="F166" s="27">
        <f t="shared" si="66"/>
        <v>0.25445858427388768</v>
      </c>
      <c r="G166" s="28">
        <f>SUM(E167:E$174)/$E$175</f>
        <v>0.40170369457968397</v>
      </c>
      <c r="H166" s="30"/>
      <c r="J166" s="49">
        <f>J152</f>
        <v>0.35468470471169822</v>
      </c>
      <c r="K166" s="48">
        <f>1-J166</f>
        <v>0.64531529528830178</v>
      </c>
      <c r="L166" s="48">
        <f>SUM($F$163:F166)</f>
        <v>0.59829630542031587</v>
      </c>
      <c r="M166" s="48">
        <v>1</v>
      </c>
      <c r="N166" s="20">
        <f>+(L166-J166)/(L166+M166-1)</f>
        <v>0.40717550568438715</v>
      </c>
      <c r="O166" s="49">
        <f>1-N166</f>
        <v>0.5928244943156129</v>
      </c>
      <c r="P166" s="20">
        <f>+N166*M166/K166</f>
        <v>0.63097141607727891</v>
      </c>
      <c r="Q166" s="20">
        <f>+O166*L166/J166</f>
        <v>1</v>
      </c>
      <c r="R166" s="50">
        <f>+N166*M166+O166*L166</f>
        <v>0.76186021039608542</v>
      </c>
      <c r="S166" s="50"/>
    </row>
    <row r="167" spans="2:23" x14ac:dyDescent="0.25">
      <c r="B167" s="32"/>
      <c r="C167" s="33" t="s">
        <v>48</v>
      </c>
      <c r="D167" s="34">
        <v>212</v>
      </c>
      <c r="E167" s="35">
        <f>124.22+101.85</f>
        <v>226.07</v>
      </c>
      <c r="F167" s="27">
        <f t="shared" si="66"/>
        <v>0.14655792756056607</v>
      </c>
      <c r="G167" s="28">
        <f>SUM(E168:E$174)/$E$175</f>
        <v>0.25514576701911784</v>
      </c>
      <c r="H167" s="36">
        <f>SUM(F168:F174)*100</f>
        <v>25.514576701911789</v>
      </c>
      <c r="I167" s="30">
        <f>($I$194-H167)/($I$194*(100-H167))*10000</f>
        <v>66.351463196471812</v>
      </c>
      <c r="J167" s="49">
        <f t="shared" ref="J167:J173" si="67">J153</f>
        <v>0.49797283707538076</v>
      </c>
      <c r="K167" s="48">
        <f t="shared" ref="K167:K173" si="68">1-J167</f>
        <v>0.50202716292461924</v>
      </c>
      <c r="L167" s="48">
        <f>SUM($F$163:F167)</f>
        <v>0.74485423298088194</v>
      </c>
      <c r="M167" s="53">
        <v>0.87239999999999995</v>
      </c>
      <c r="N167" s="20">
        <f t="shared" ref="N167:N173" si="69">+(L167-J167)/(L167+M167-1)</f>
        <v>0.39996711681221925</v>
      </c>
      <c r="O167" s="49">
        <f t="shared" ref="O167:O173" si="70">1-N167</f>
        <v>0.60003288318778081</v>
      </c>
      <c r="P167" s="20">
        <f t="shared" ref="P167:P173" si="71">+N167*M167/K167</f>
        <v>0.69504468776995854</v>
      </c>
      <c r="Q167" s="20">
        <f t="shared" ref="Q167:Q173" si="72">+O167*L167/J167</f>
        <v>0.89751287559181947</v>
      </c>
      <c r="R167" s="50">
        <f t="shared" ref="R167:R173" si="73">+N167*M167+O167*L167</f>
        <v>0.79586834567712161</v>
      </c>
      <c r="S167" s="50"/>
    </row>
    <row r="168" spans="2:23" x14ac:dyDescent="0.25">
      <c r="B168" s="32"/>
      <c r="C168" s="33" t="s">
        <v>49</v>
      </c>
      <c r="D168" s="34">
        <v>180</v>
      </c>
      <c r="E168" s="35">
        <f>23.6+17.04</f>
        <v>40.64</v>
      </c>
      <c r="F168" s="27">
        <f t="shared" si="66"/>
        <v>2.6346327137883863E-2</v>
      </c>
      <c r="G168" s="28">
        <f>SUM(E169:E$174)/$E$175</f>
        <v>0.22879943988123402</v>
      </c>
      <c r="J168" s="49">
        <f t="shared" si="67"/>
        <v>0.53475816951951471</v>
      </c>
      <c r="K168" s="48">
        <f t="shared" si="68"/>
        <v>0.46524183048048529</v>
      </c>
      <c r="L168" s="48">
        <f>SUM($F$163:F168)</f>
        <v>0.77120056011876581</v>
      </c>
      <c r="M168" s="48">
        <v>1</v>
      </c>
      <c r="N168" s="20">
        <f t="shared" si="69"/>
        <v>0.30659001409806891</v>
      </c>
      <c r="O168" s="49">
        <f t="shared" si="70"/>
        <v>0.69340998590193115</v>
      </c>
      <c r="P168" s="20">
        <f t="shared" si="71"/>
        <v>0.65899064531973317</v>
      </c>
      <c r="Q168" s="20">
        <f t="shared" si="72"/>
        <v>1.0000000000000002</v>
      </c>
      <c r="R168" s="50">
        <f t="shared" si="73"/>
        <v>0.84134818361758379</v>
      </c>
      <c r="S168" s="50"/>
    </row>
    <row r="169" spans="2:23" x14ac:dyDescent="0.25">
      <c r="B169" s="32"/>
      <c r="C169" s="33" t="s">
        <v>50</v>
      </c>
      <c r="D169" s="34">
        <v>150</v>
      </c>
      <c r="E169" s="35">
        <f>20.62+22.79</f>
        <v>43.41</v>
      </c>
      <c r="F169" s="27">
        <f t="shared" si="66"/>
        <v>2.814207827400439E-2</v>
      </c>
      <c r="G169" s="28">
        <f>SUM(E170:E$174)/$E$175</f>
        <v>0.20065736160722963</v>
      </c>
      <c r="J169" s="49">
        <f t="shared" si="67"/>
        <v>0.59484264346279647</v>
      </c>
      <c r="K169" s="48">
        <f t="shared" si="68"/>
        <v>0.40515735653720353</v>
      </c>
      <c r="L169" s="48">
        <f>SUM($F$163:F169)</f>
        <v>0.7993426383927702</v>
      </c>
      <c r="M169" s="48">
        <v>1</v>
      </c>
      <c r="N169" s="20">
        <f t="shared" si="69"/>
        <v>0.25583521397177023</v>
      </c>
      <c r="O169" s="49">
        <f t="shared" si="70"/>
        <v>0.74416478602822977</v>
      </c>
      <c r="P169" s="20">
        <f t="shared" si="71"/>
        <v>0.63144654748056683</v>
      </c>
      <c r="Q169" s="20">
        <f t="shared" si="72"/>
        <v>1</v>
      </c>
      <c r="R169" s="50">
        <f t="shared" si="73"/>
        <v>0.8506778574345667</v>
      </c>
      <c r="S169" s="50"/>
    </row>
    <row r="170" spans="2:23" x14ac:dyDescent="0.25">
      <c r="B170" s="32"/>
      <c r="C170" s="33" t="s">
        <v>51</v>
      </c>
      <c r="D170" s="34">
        <v>106</v>
      </c>
      <c r="E170" s="35">
        <f>28.3+30.25</f>
        <v>58.55</v>
      </c>
      <c r="F170" s="27">
        <f t="shared" si="66"/>
        <v>3.7957122389840059E-2</v>
      </c>
      <c r="G170" s="28">
        <f>SUM(E171:E$174)/$E$175</f>
        <v>0.1627002392173896</v>
      </c>
      <c r="J170" s="49">
        <f t="shared" si="67"/>
        <v>0.67535753225994255</v>
      </c>
      <c r="K170" s="48">
        <f t="shared" si="68"/>
        <v>0.32464246774005745</v>
      </c>
      <c r="L170" s="48">
        <f>SUM($F$163:F170)</f>
        <v>0.83729976078261026</v>
      </c>
      <c r="M170" s="48">
        <v>1</v>
      </c>
      <c r="N170" s="20">
        <f t="shared" si="69"/>
        <v>0.19341009768270204</v>
      </c>
      <c r="O170" s="49">
        <f t="shared" si="70"/>
        <v>0.80658990231729799</v>
      </c>
      <c r="P170" s="20">
        <f t="shared" si="71"/>
        <v>0.59576339173704873</v>
      </c>
      <c r="Q170" s="20">
        <f t="shared" si="72"/>
        <v>1</v>
      </c>
      <c r="R170" s="50">
        <f t="shared" si="73"/>
        <v>0.86876762994264456</v>
      </c>
      <c r="S170" s="50"/>
    </row>
    <row r="171" spans="2:23" x14ac:dyDescent="0.25">
      <c r="B171" s="32"/>
      <c r="C171" s="33" t="s">
        <v>52</v>
      </c>
      <c r="D171" s="34">
        <v>75</v>
      </c>
      <c r="E171" s="35">
        <f>18.19+23.1</f>
        <v>41.290000000000006</v>
      </c>
      <c r="F171" s="27">
        <f t="shared" si="66"/>
        <v>2.676771278354392E-2</v>
      </c>
      <c r="G171" s="28">
        <f>SUM(E172:E$174)/$E$175</f>
        <v>0.13593252643384565</v>
      </c>
      <c r="J171" s="49">
        <f t="shared" si="67"/>
        <v>0.73742153344554173</v>
      </c>
      <c r="K171" s="48">
        <f t="shared" si="68"/>
        <v>0.26257846655445827</v>
      </c>
      <c r="L171" s="48">
        <f>SUM($F$163:F171)</f>
        <v>0.86406747356615421</v>
      </c>
      <c r="M171" s="48">
        <v>1</v>
      </c>
      <c r="N171" s="20">
        <f t="shared" si="69"/>
        <v>0.14656950295550766</v>
      </c>
      <c r="O171" s="49">
        <f t="shared" si="70"/>
        <v>0.85343049704449236</v>
      </c>
      <c r="P171" s="20">
        <f t="shared" si="71"/>
        <v>0.55819315604506903</v>
      </c>
      <c r="Q171" s="20">
        <f t="shared" si="72"/>
        <v>1</v>
      </c>
      <c r="R171" s="50">
        <f t="shared" si="73"/>
        <v>0.88399103640104937</v>
      </c>
      <c r="S171" s="50"/>
    </row>
    <row r="172" spans="2:23" x14ac:dyDescent="0.25">
      <c r="B172" s="32"/>
      <c r="C172" s="33" t="s">
        <v>53</v>
      </c>
      <c r="D172" s="34">
        <v>53</v>
      </c>
      <c r="E172" s="35">
        <f>16.05+22.65</f>
        <v>38.700000000000003</v>
      </c>
      <c r="F172" s="27">
        <f t="shared" si="66"/>
        <v>2.5088653056990786E-2</v>
      </c>
      <c r="G172" s="28">
        <f>SUM(E173:E$174)/$E$175</f>
        <v>0.11084387337685489</v>
      </c>
      <c r="J172" s="49">
        <f t="shared" si="67"/>
        <v>0.78294007431166435</v>
      </c>
      <c r="K172" s="48">
        <f t="shared" si="68"/>
        <v>0.21705992568833565</v>
      </c>
      <c r="L172" s="48">
        <f>SUM($F$163:F172)</f>
        <v>0.88915612662314503</v>
      </c>
      <c r="M172" s="48">
        <v>1</v>
      </c>
      <c r="N172" s="20">
        <f t="shared" si="69"/>
        <v>0.11945714496156049</v>
      </c>
      <c r="O172" s="49">
        <f t="shared" si="70"/>
        <v>0.88054285503843954</v>
      </c>
      <c r="P172" s="20">
        <f t="shared" si="71"/>
        <v>0.55034177581486132</v>
      </c>
      <c r="Q172" s="20">
        <f t="shared" si="72"/>
        <v>1</v>
      </c>
      <c r="R172" s="50">
        <f t="shared" si="73"/>
        <v>0.9023972192732248</v>
      </c>
      <c r="S172" s="50"/>
    </row>
    <row r="173" spans="2:23" x14ac:dyDescent="0.25">
      <c r="B173" s="32"/>
      <c r="C173" s="33" t="s">
        <v>54</v>
      </c>
      <c r="D173" s="34">
        <v>38</v>
      </c>
      <c r="E173" s="35">
        <f>10.54+12.36</f>
        <v>22.9</v>
      </c>
      <c r="F173" s="27">
        <f t="shared" si="66"/>
        <v>1.4845740439407984E-2</v>
      </c>
      <c r="G173" s="28">
        <f>SUM(E174:E$174)/$E$175</f>
        <v>9.5998132937446898E-2</v>
      </c>
      <c r="J173" s="49">
        <f t="shared" si="67"/>
        <v>0.82419257518498523</v>
      </c>
      <c r="K173" s="48">
        <f t="shared" si="68"/>
        <v>0.17580742481501477</v>
      </c>
      <c r="L173" s="48">
        <f>SUM($F$163:F173)</f>
        <v>0.90400186706255303</v>
      </c>
      <c r="M173" s="48">
        <v>1</v>
      </c>
      <c r="N173" s="20">
        <f t="shared" si="69"/>
        <v>8.8284432571913429E-2</v>
      </c>
      <c r="O173" s="49">
        <f t="shared" si="70"/>
        <v>0.91171556742808657</v>
      </c>
      <c r="P173" s="20">
        <f t="shared" si="71"/>
        <v>0.50216555225017734</v>
      </c>
      <c r="Q173" s="20">
        <f t="shared" si="72"/>
        <v>1</v>
      </c>
      <c r="R173" s="50">
        <f t="shared" si="73"/>
        <v>0.91247700775689866</v>
      </c>
      <c r="S173" s="50"/>
      <c r="T173" s="48">
        <f>SUM($F$107:$F$117)</f>
        <v>0.82419257518498523</v>
      </c>
      <c r="U173" s="48">
        <f>SUM(F163:F173)</f>
        <v>0.90400186706255303</v>
      </c>
      <c r="V173" s="20">
        <v>0.7</v>
      </c>
      <c r="W173" s="20">
        <f>U173*(T173-V173)*(1-V173)*(U173-T173)/T173/(U173-V173)^2/(1-T173)</f>
        <v>0.44576449832784115</v>
      </c>
    </row>
    <row r="174" spans="2:23" x14ac:dyDescent="0.25">
      <c r="B174" s="37"/>
      <c r="C174" s="38">
        <v>-38</v>
      </c>
      <c r="D174" s="39"/>
      <c r="E174" s="40">
        <f>4.32+5.78+137.98</f>
        <v>148.07999999999998</v>
      </c>
      <c r="F174" s="27">
        <f t="shared" si="66"/>
        <v>9.5998132937446898E-2</v>
      </c>
      <c r="G174" s="41"/>
    </row>
    <row r="175" spans="2:23" ht="15.75" thickBot="1" x14ac:dyDescent="0.3">
      <c r="B175" s="42"/>
      <c r="C175" s="43" t="s">
        <v>55</v>
      </c>
      <c r="D175" s="44"/>
      <c r="E175" s="45">
        <f>SUM(E163:E174)</f>
        <v>1542.5300000000002</v>
      </c>
      <c r="F175" s="27">
        <f t="shared" si="66"/>
        <v>1</v>
      </c>
      <c r="G175" s="45"/>
    </row>
    <row r="176" spans="2:23" ht="30.75" thickBot="1" x14ac:dyDescent="0.3">
      <c r="B176" s="21" t="s">
        <v>23</v>
      </c>
      <c r="C176" s="173" t="s">
        <v>24</v>
      </c>
      <c r="D176" s="174"/>
      <c r="E176" s="22" t="s">
        <v>25</v>
      </c>
      <c r="F176" s="23" t="s">
        <v>26</v>
      </c>
      <c r="G176" s="22" t="s">
        <v>27</v>
      </c>
    </row>
    <row r="177" spans="2:23" ht="38.25" thickTop="1" x14ac:dyDescent="0.25">
      <c r="B177" s="10" t="s">
        <v>20</v>
      </c>
      <c r="C177" s="24" t="s">
        <v>43</v>
      </c>
      <c r="D177" s="25">
        <v>1180</v>
      </c>
      <c r="E177" s="26">
        <f>52.19+53.32</f>
        <v>105.50999999999999</v>
      </c>
      <c r="F177" s="27">
        <f>E177/$E$189</f>
        <v>5.4578184244693989E-2</v>
      </c>
      <c r="G177" s="28">
        <f>SUM(E178:E$188)/$E$189</f>
        <v>0.94542181575530593</v>
      </c>
    </row>
    <row r="178" spans="2:23" x14ac:dyDescent="0.25">
      <c r="B178" s="29" t="s">
        <v>44</v>
      </c>
      <c r="C178" s="25" t="s">
        <v>45</v>
      </c>
      <c r="D178" s="25">
        <v>600</v>
      </c>
      <c r="E178" s="26">
        <f>187.33+176.43</f>
        <v>363.76</v>
      </c>
      <c r="F178" s="27">
        <f t="shared" ref="F178:F188" si="74">E178/$E$189</f>
        <v>0.18816567435171916</v>
      </c>
      <c r="G178" s="28">
        <f>SUM(E179:E$188)/$E$189</f>
        <v>0.75725614140358677</v>
      </c>
    </row>
    <row r="179" spans="2:23" x14ac:dyDescent="0.25">
      <c r="B179" s="31">
        <f>FORECAST(0.8,D177:D178,G177:G178)</f>
        <v>731.75324389707566</v>
      </c>
      <c r="C179" s="25" t="s">
        <v>46</v>
      </c>
      <c r="D179" s="25">
        <v>425</v>
      </c>
      <c r="E179" s="26">
        <f>199.45+190.9</f>
        <v>390.35</v>
      </c>
      <c r="F179" s="27">
        <f t="shared" si="74"/>
        <v>0.2019201423553815</v>
      </c>
      <c r="G179" s="28">
        <f>SUM(E180:E$188)/$E$189</f>
        <v>0.5553359990482053</v>
      </c>
    </row>
    <row r="180" spans="2:23" x14ac:dyDescent="0.25">
      <c r="B180" s="32"/>
      <c r="C180" s="25" t="s">
        <v>47</v>
      </c>
      <c r="D180" s="25">
        <v>300</v>
      </c>
      <c r="E180" s="26">
        <f>235.9+228.32</f>
        <v>464.22</v>
      </c>
      <c r="F180" s="27">
        <f t="shared" si="74"/>
        <v>0.24013159596314898</v>
      </c>
      <c r="G180" s="28">
        <f>SUM(E181:E$188)/$E$189</f>
        <v>0.31520440308505626</v>
      </c>
      <c r="H180" s="30"/>
      <c r="J180" s="49">
        <f>+J166</f>
        <v>0.35468470471169822</v>
      </c>
      <c r="K180" s="48">
        <f>1-J180</f>
        <v>0.64531529528830178</v>
      </c>
      <c r="L180" s="48">
        <f>SUM($F$177:F180)</f>
        <v>0.68479559691494363</v>
      </c>
      <c r="M180" s="48">
        <v>1</v>
      </c>
      <c r="N180" s="20">
        <f>+(L180-J180)/(L180+M180-1)</f>
        <v>0.48205755657661964</v>
      </c>
      <c r="O180" s="49">
        <f>1-N180</f>
        <v>0.51794244342338036</v>
      </c>
      <c r="P180" s="20">
        <f>+N180*M180/K180</f>
        <v>0.74701089544337407</v>
      </c>
      <c r="Q180" s="20">
        <f>+O180*L180/J180</f>
        <v>0.99999999999999989</v>
      </c>
      <c r="R180" s="50">
        <f>+N180*M180+O180*L180</f>
        <v>0.83674226128831775</v>
      </c>
      <c r="S180" s="50"/>
    </row>
    <row r="181" spans="2:23" x14ac:dyDescent="0.25">
      <c r="B181" s="32"/>
      <c r="C181" s="33" t="s">
        <v>48</v>
      </c>
      <c r="D181" s="34">
        <v>212</v>
      </c>
      <c r="E181" s="35">
        <f>114.04+115.57</f>
        <v>229.61</v>
      </c>
      <c r="F181" s="27">
        <f t="shared" si="74"/>
        <v>0.11877259865817637</v>
      </c>
      <c r="G181" s="28">
        <f>SUM(E182:E$188)/$E$189</f>
        <v>0.19643180442687991</v>
      </c>
      <c r="H181" s="36">
        <f>SUM(F182:F188)*100</f>
        <v>19.643180442687992</v>
      </c>
      <c r="I181" s="30">
        <f>($H$181-H181)/($I$194*(100-H181))*10000</f>
        <v>0</v>
      </c>
      <c r="J181" s="49">
        <f t="shared" ref="J181:J187" si="75">+J167</f>
        <v>0.49797283707538076</v>
      </c>
      <c r="K181" s="48">
        <f t="shared" ref="K181:K187" si="76">1-J181</f>
        <v>0.50202716292461924</v>
      </c>
      <c r="L181" s="48">
        <f>SUM($F$177:F181)</f>
        <v>0.80356819557311998</v>
      </c>
      <c r="M181" s="53">
        <v>0.87239999999999995</v>
      </c>
      <c r="N181" s="20">
        <f t="shared" ref="N181:N187" si="77">+(L181-J181)/(L181+M181-1)</f>
        <v>0.45208540948977638</v>
      </c>
      <c r="O181" s="49">
        <f t="shared" ref="O181:O187" si="78">1-N181</f>
        <v>0.54791459051022362</v>
      </c>
      <c r="P181" s="20">
        <f t="shared" ref="P181:P187" si="79">+N181*M181/K181</f>
        <v>0.78561348940017617</v>
      </c>
      <c r="Q181" s="20">
        <f t="shared" ref="Q181:Q187" si="80">+O181*L181/J181</f>
        <v>0.88415814286239236</v>
      </c>
      <c r="R181" s="50">
        <f t="shared" ref="R181:R187" si="81">+N181*M181+O181*L181</f>
        <v>0.83468605006336616</v>
      </c>
      <c r="S181" s="50"/>
    </row>
    <row r="182" spans="2:23" x14ac:dyDescent="0.25">
      <c r="B182" s="32"/>
      <c r="C182" s="33" t="s">
        <v>49</v>
      </c>
      <c r="D182" s="34">
        <v>180</v>
      </c>
      <c r="E182" s="35">
        <f>17.92+18.88</f>
        <v>36.799999999999997</v>
      </c>
      <c r="F182" s="27">
        <f t="shared" si="74"/>
        <v>1.9035894040420234E-2</v>
      </c>
      <c r="G182" s="28">
        <f>SUM(E183:E$188)/$E$189</f>
        <v>0.17739591038645966</v>
      </c>
      <c r="J182" s="49">
        <f t="shared" si="75"/>
        <v>0.53475816951951471</v>
      </c>
      <c r="K182" s="48">
        <f t="shared" si="76"/>
        <v>0.46524183048048529</v>
      </c>
      <c r="L182" s="48">
        <f>SUM($F$177:F182)</f>
        <v>0.82260408961354026</v>
      </c>
      <c r="M182" s="48">
        <v>1</v>
      </c>
      <c r="N182" s="20">
        <f t="shared" si="77"/>
        <v>0.34992036111716351</v>
      </c>
      <c r="O182" s="49">
        <f t="shared" si="78"/>
        <v>0.65007963888283649</v>
      </c>
      <c r="P182" s="20">
        <f t="shared" si="79"/>
        <v>0.75212575093640688</v>
      </c>
      <c r="Q182" s="20">
        <f t="shared" si="80"/>
        <v>1</v>
      </c>
      <c r="R182" s="50">
        <f t="shared" si="81"/>
        <v>0.88467853063667823</v>
      </c>
      <c r="S182" s="50"/>
    </row>
    <row r="183" spans="2:23" x14ac:dyDescent="0.25">
      <c r="B183" s="32"/>
      <c r="C183" s="33" t="s">
        <v>50</v>
      </c>
      <c r="D183" s="34">
        <v>150</v>
      </c>
      <c r="E183" s="35">
        <f>21.99+21.07</f>
        <v>43.06</v>
      </c>
      <c r="F183" s="27">
        <f t="shared" si="74"/>
        <v>2.2274065146209113E-2</v>
      </c>
      <c r="G183" s="28">
        <f>SUM(E184:E$188)/$E$189</f>
        <v>0.15512184524025055</v>
      </c>
      <c r="J183" s="49">
        <f t="shared" si="75"/>
        <v>0.59484264346279647</v>
      </c>
      <c r="K183" s="48">
        <f t="shared" si="76"/>
        <v>0.40515735653720353</v>
      </c>
      <c r="L183" s="48">
        <f>SUM($F$177:F183)</f>
        <v>0.84487815475974937</v>
      </c>
      <c r="M183" s="48">
        <v>1</v>
      </c>
      <c r="N183" s="20">
        <f t="shared" si="77"/>
        <v>0.29594268698786902</v>
      </c>
      <c r="O183" s="49">
        <f t="shared" si="78"/>
        <v>0.70405731301213104</v>
      </c>
      <c r="P183" s="20">
        <f t="shared" si="79"/>
        <v>0.73043888309774307</v>
      </c>
      <c r="Q183" s="20">
        <f t="shared" si="80"/>
        <v>1.0000000000000002</v>
      </c>
      <c r="R183" s="50">
        <f t="shared" si="81"/>
        <v>0.89078533045066566</v>
      </c>
      <c r="S183" s="50"/>
    </row>
    <row r="184" spans="2:23" x14ac:dyDescent="0.25">
      <c r="B184" s="32"/>
      <c r="C184" s="33" t="s">
        <v>51</v>
      </c>
      <c r="D184" s="34">
        <v>106</v>
      </c>
      <c r="E184" s="35">
        <f>24.34+29.35</f>
        <v>53.69</v>
      </c>
      <c r="F184" s="27">
        <f t="shared" si="74"/>
        <v>2.7772748669297891E-2</v>
      </c>
      <c r="G184" s="28">
        <f>SUM(E185:E$188)/$E$189</f>
        <v>0.12734909657095264</v>
      </c>
      <c r="J184" s="49">
        <f t="shared" si="75"/>
        <v>0.67535753225994255</v>
      </c>
      <c r="K184" s="48">
        <f t="shared" si="76"/>
        <v>0.32464246774005745</v>
      </c>
      <c r="L184" s="48">
        <f>SUM($F$177:F184)</f>
        <v>0.87265090342904728</v>
      </c>
      <c r="M184" s="48">
        <v>1</v>
      </c>
      <c r="N184" s="20">
        <f t="shared" si="77"/>
        <v>0.22608510504469567</v>
      </c>
      <c r="O184" s="49">
        <f t="shared" si="78"/>
        <v>0.7739148949553043</v>
      </c>
      <c r="P184" s="20">
        <f t="shared" si="79"/>
        <v>0.69641260004751737</v>
      </c>
      <c r="Q184" s="20">
        <f t="shared" si="80"/>
        <v>1</v>
      </c>
      <c r="R184" s="50">
        <f t="shared" si="81"/>
        <v>0.90144263730463825</v>
      </c>
      <c r="S184" s="50"/>
    </row>
    <row r="185" spans="2:23" x14ac:dyDescent="0.25">
      <c r="B185" s="32"/>
      <c r="C185" s="33" t="s">
        <v>52</v>
      </c>
      <c r="D185" s="34">
        <v>75</v>
      </c>
      <c r="E185" s="35">
        <f>16.89+21.8</f>
        <v>38.69</v>
      </c>
      <c r="F185" s="27">
        <f t="shared" si="74"/>
        <v>2.0013552728909208E-2</v>
      </c>
      <c r="G185" s="28">
        <f>SUM(E186:E$188)/$E$189</f>
        <v>0.10733554384204344</v>
      </c>
      <c r="J185" s="49">
        <f t="shared" si="75"/>
        <v>0.73742153344554173</v>
      </c>
      <c r="K185" s="48">
        <f t="shared" si="76"/>
        <v>0.26257846655445827</v>
      </c>
      <c r="L185" s="48">
        <f>SUM($F$177:F185)</f>
        <v>0.89266445615795653</v>
      </c>
      <c r="M185" s="48">
        <v>1</v>
      </c>
      <c r="N185" s="20">
        <f t="shared" si="77"/>
        <v>0.17390960471371633</v>
      </c>
      <c r="O185" s="49">
        <f t="shared" si="78"/>
        <v>0.8260903952862837</v>
      </c>
      <c r="P185" s="20">
        <f t="shared" si="79"/>
        <v>0.66231480058418202</v>
      </c>
      <c r="Q185" s="20">
        <f t="shared" si="80"/>
        <v>1</v>
      </c>
      <c r="R185" s="50">
        <f t="shared" si="81"/>
        <v>0.91133113815925804</v>
      </c>
      <c r="S185" s="50"/>
    </row>
    <row r="186" spans="2:23" x14ac:dyDescent="0.25">
      <c r="B186" s="32"/>
      <c r="C186" s="33" t="s">
        <v>53</v>
      </c>
      <c r="D186" s="34">
        <v>53</v>
      </c>
      <c r="E186" s="35">
        <f>13.09+15.35</f>
        <v>28.439999999999998</v>
      </c>
      <c r="F186" s="27">
        <f t="shared" si="74"/>
        <v>1.4711435502976941E-2</v>
      </c>
      <c r="G186" s="28">
        <f>SUM(E187:E$188)/$E$189</f>
        <v>9.2624108339066508E-2</v>
      </c>
      <c r="J186" s="49">
        <f t="shared" si="75"/>
        <v>0.78294007431166435</v>
      </c>
      <c r="K186" s="48">
        <f t="shared" si="76"/>
        <v>0.21705992568833565</v>
      </c>
      <c r="L186" s="48">
        <f>SUM($F$177:F186)</f>
        <v>0.90737589166093346</v>
      </c>
      <c r="M186" s="48">
        <v>1</v>
      </c>
      <c r="N186" s="20">
        <f t="shared" si="77"/>
        <v>0.13713811276326929</v>
      </c>
      <c r="O186" s="49">
        <f t="shared" si="78"/>
        <v>0.86286188723673074</v>
      </c>
      <c r="P186" s="20">
        <f t="shared" si="79"/>
        <v>0.63179839543563798</v>
      </c>
      <c r="Q186" s="20">
        <f t="shared" si="80"/>
        <v>1</v>
      </c>
      <c r="R186" s="50">
        <f t="shared" si="81"/>
        <v>0.92007818707493361</v>
      </c>
      <c r="S186" s="50"/>
    </row>
    <row r="187" spans="2:23" x14ac:dyDescent="0.25">
      <c r="B187" s="32"/>
      <c r="C187" s="33" t="s">
        <v>54</v>
      </c>
      <c r="D187" s="34">
        <v>38</v>
      </c>
      <c r="E187" s="35">
        <f>10.23+16.74</f>
        <v>26.97</v>
      </c>
      <c r="F187" s="27">
        <f t="shared" si="74"/>
        <v>1.3951034300818852E-2</v>
      </c>
      <c r="G187" s="28">
        <f>SUM(E188:E$188)/$E$189</f>
        <v>7.8673074038247651E-2</v>
      </c>
      <c r="J187" s="49">
        <f t="shared" si="75"/>
        <v>0.82419257518498523</v>
      </c>
      <c r="K187" s="48">
        <f t="shared" si="76"/>
        <v>0.17580742481501477</v>
      </c>
      <c r="L187" s="48">
        <f>SUM($F$177:F187)</f>
        <v>0.92132692596175236</v>
      </c>
      <c r="M187" s="48">
        <v>1</v>
      </c>
      <c r="N187" s="20">
        <f t="shared" si="77"/>
        <v>0.10542875502674666</v>
      </c>
      <c r="O187" s="49">
        <f t="shared" si="78"/>
        <v>0.89457124497325335</v>
      </c>
      <c r="P187" s="20">
        <f t="shared" si="79"/>
        <v>0.5996831768492098</v>
      </c>
      <c r="Q187" s="20">
        <f t="shared" si="80"/>
        <v>1</v>
      </c>
      <c r="R187" s="50">
        <f t="shared" si="81"/>
        <v>0.92962133021173188</v>
      </c>
      <c r="S187" s="50"/>
      <c r="T187" s="48">
        <f>SUM($F$107:$F$117)</f>
        <v>0.82419257518498523</v>
      </c>
      <c r="U187" s="48">
        <f>SUM(F177:F187)</f>
        <v>0.92132692596175236</v>
      </c>
      <c r="V187" s="20">
        <v>0.7</v>
      </c>
      <c r="W187" s="20">
        <f>U187*(T187-V187)*(1-V187)*(U187-T187)/T187/(U187-V187)^2/(1-T187)</f>
        <v>0.46975247625979183</v>
      </c>
    </row>
    <row r="188" spans="2:23" x14ac:dyDescent="0.25">
      <c r="B188" s="37"/>
      <c r="C188" s="38">
        <v>-38</v>
      </c>
      <c r="D188" s="39"/>
      <c r="E188" s="40">
        <f>147.29+4.8</f>
        <v>152.09</v>
      </c>
      <c r="F188" s="27">
        <f t="shared" si="74"/>
        <v>7.8673074038247651E-2</v>
      </c>
      <c r="G188" s="41"/>
    </row>
    <row r="189" spans="2:23" x14ac:dyDescent="0.25">
      <c r="B189" s="42"/>
      <c r="C189" s="43" t="s">
        <v>55</v>
      </c>
      <c r="D189" s="44"/>
      <c r="E189" s="45">
        <f>SUM(E177:E188)</f>
        <v>1933.1900000000003</v>
      </c>
      <c r="F189" s="27">
        <f>E189/$E$189</f>
        <v>1</v>
      </c>
      <c r="G189" s="45"/>
    </row>
    <row r="192" spans="2:23" ht="15.75" thickBot="1" x14ac:dyDescent="0.3"/>
    <row r="193" spans="2:9" ht="30.75" thickBot="1" x14ac:dyDescent="0.3">
      <c r="B193" s="21" t="s">
        <v>23</v>
      </c>
      <c r="C193" s="173" t="s">
        <v>24</v>
      </c>
      <c r="D193" s="174"/>
      <c r="E193" s="22" t="s">
        <v>25</v>
      </c>
      <c r="F193" s="23" t="s">
        <v>26</v>
      </c>
      <c r="G193" s="22" t="s">
        <v>27</v>
      </c>
    </row>
    <row r="194" spans="2:9" ht="38.25" thickTop="1" x14ac:dyDescent="0.25">
      <c r="B194" s="10" t="s">
        <v>57</v>
      </c>
      <c r="C194" s="24" t="s">
        <v>43</v>
      </c>
      <c r="D194" s="25">
        <v>1180</v>
      </c>
      <c r="E194" s="26">
        <f>SUM(E35,E49,E63,E77,E91)</f>
        <v>278.27999999999997</v>
      </c>
      <c r="F194" s="27">
        <f>E194/$E$206</f>
        <v>4.2073878755624364E-2</v>
      </c>
      <c r="G194" s="28">
        <f>SUM(E195:$E$205)/$E$206</f>
        <v>0.95792612124437582</v>
      </c>
      <c r="I194">
        <f>I195*100</f>
        <v>50.446165458625003</v>
      </c>
    </row>
    <row r="195" spans="2:9" x14ac:dyDescent="0.25">
      <c r="B195" s="29" t="s">
        <v>44</v>
      </c>
      <c r="C195" s="25" t="s">
        <v>45</v>
      </c>
      <c r="D195" s="25">
        <v>600</v>
      </c>
      <c r="E195" s="26">
        <f t="shared" ref="E195:E204" si="82">SUM(E36,E50,E64,E78,E92)</f>
        <v>1088.53</v>
      </c>
      <c r="F195" s="27">
        <f t="shared" ref="F195:F205" si="83">E195/$E$206</f>
        <v>0.16457768880932799</v>
      </c>
      <c r="G195" s="28">
        <f>SUM(E196:$E$205)/$E$206</f>
        <v>0.79334843243504782</v>
      </c>
      <c r="I195" s="48">
        <f>SUM(F26:F32)</f>
        <v>0.50446165458625003</v>
      </c>
    </row>
    <row r="196" spans="2:9" x14ac:dyDescent="0.25">
      <c r="B196" s="31">
        <f>FORECAST(0.8,D194:D195,G194:G195)</f>
        <v>623.44126482503907</v>
      </c>
      <c r="C196" s="25" t="s">
        <v>46</v>
      </c>
      <c r="D196" s="25">
        <v>425</v>
      </c>
      <c r="E196" s="26">
        <f t="shared" si="82"/>
        <v>1370.29</v>
      </c>
      <c r="F196" s="27">
        <f t="shared" si="83"/>
        <v>0.2071777178383086</v>
      </c>
      <c r="G196" s="28">
        <f>SUM(E197:$E$205)/$E$206</f>
        <v>0.58617071459673908</v>
      </c>
    </row>
    <row r="197" spans="2:9" x14ac:dyDescent="0.25">
      <c r="B197" s="32"/>
      <c r="C197" s="25" t="s">
        <v>47</v>
      </c>
      <c r="D197" s="25">
        <v>300</v>
      </c>
      <c r="E197" s="26">
        <f t="shared" si="82"/>
        <v>1784.6999999999998</v>
      </c>
      <c r="F197" s="27">
        <f t="shared" si="83"/>
        <v>0.26983344622381344</v>
      </c>
      <c r="G197" s="28">
        <f>SUM(E198:$E$205)/$E$206</f>
        <v>0.31633726837292564</v>
      </c>
    </row>
    <row r="198" spans="2:9" x14ac:dyDescent="0.25">
      <c r="B198" s="32"/>
      <c r="C198" s="33" t="s">
        <v>48</v>
      </c>
      <c r="D198" s="34">
        <v>212</v>
      </c>
      <c r="E198" s="26">
        <f t="shared" si="82"/>
        <v>962.94999999999993</v>
      </c>
      <c r="F198" s="27">
        <f t="shared" si="83"/>
        <v>0.1455909211863177</v>
      </c>
      <c r="G198" s="28">
        <f>SUM(E199:$E$205)/$E$206</f>
        <v>0.170746347186608</v>
      </c>
    </row>
    <row r="199" spans="2:9" x14ac:dyDescent="0.25">
      <c r="B199" s="32"/>
      <c r="C199" s="33" t="s">
        <v>49</v>
      </c>
      <c r="D199" s="34">
        <v>180</v>
      </c>
      <c r="E199" s="26">
        <f t="shared" si="82"/>
        <v>132.06</v>
      </c>
      <c r="F199" s="27">
        <f t="shared" si="83"/>
        <v>1.9966495718225365E-2</v>
      </c>
      <c r="G199" s="28">
        <f>SUM(E200:$E$205)/$E$206</f>
        <v>0.15077985146838263</v>
      </c>
    </row>
    <row r="200" spans="2:9" x14ac:dyDescent="0.25">
      <c r="B200" s="32"/>
      <c r="C200" s="33" t="s">
        <v>50</v>
      </c>
      <c r="D200" s="34">
        <v>150</v>
      </c>
      <c r="E200" s="26">
        <f t="shared" si="82"/>
        <v>144.81</v>
      </c>
      <c r="F200" s="27">
        <f t="shared" si="83"/>
        <v>2.1894201461125362E-2</v>
      </c>
      <c r="G200" s="28">
        <f>SUM(E201:$E$205)/$E$206</f>
        <v>0.12888565000725724</v>
      </c>
    </row>
    <row r="201" spans="2:9" x14ac:dyDescent="0.25">
      <c r="B201" s="32"/>
      <c r="C201" s="33" t="s">
        <v>51</v>
      </c>
      <c r="D201" s="34">
        <v>106</v>
      </c>
      <c r="E201" s="26">
        <f t="shared" si="82"/>
        <v>171.73999999999998</v>
      </c>
      <c r="F201" s="27">
        <f t="shared" si="83"/>
        <v>2.5965818375344719E-2</v>
      </c>
      <c r="G201" s="28">
        <f>SUM(E202:$E$205)/$E$206</f>
        <v>0.10291983163191254</v>
      </c>
    </row>
    <row r="202" spans="2:9" x14ac:dyDescent="0.25">
      <c r="B202" s="32"/>
      <c r="C202" s="33" t="s">
        <v>52</v>
      </c>
      <c r="D202" s="34">
        <v>75</v>
      </c>
      <c r="E202" s="26">
        <f t="shared" si="82"/>
        <v>107.31</v>
      </c>
      <c r="F202" s="27">
        <f t="shared" si="83"/>
        <v>1.6224478687890079E-2</v>
      </c>
      <c r="G202" s="28">
        <f>SUM(E203:$E$205)/$E$206</f>
        <v>8.6695352944022475E-2</v>
      </c>
    </row>
    <row r="203" spans="2:9" x14ac:dyDescent="0.25">
      <c r="B203" s="32"/>
      <c r="C203" s="33" t="s">
        <v>53</v>
      </c>
      <c r="D203" s="34">
        <v>53</v>
      </c>
      <c r="E203" s="26">
        <f t="shared" si="82"/>
        <v>83.83</v>
      </c>
      <c r="F203" s="27">
        <f t="shared" si="83"/>
        <v>1.2674476268808361E-2</v>
      </c>
      <c r="G203" s="28">
        <f>SUM(E204:$E$205)/$E$206</f>
        <v>7.4020876675214106E-2</v>
      </c>
    </row>
    <row r="204" spans="2:9" x14ac:dyDescent="0.25">
      <c r="B204" s="32"/>
      <c r="C204" s="33" t="s">
        <v>54</v>
      </c>
      <c r="D204" s="34">
        <v>38</v>
      </c>
      <c r="E204" s="26">
        <f t="shared" si="82"/>
        <v>67.460000000000008</v>
      </c>
      <c r="F204" s="27">
        <f t="shared" si="83"/>
        <v>1.0199453287532056E-2</v>
      </c>
      <c r="G204" s="28">
        <f>SUM(E205:$E$205)/$E$206</f>
        <v>6.3821423387682041E-2</v>
      </c>
    </row>
    <row r="205" spans="2:9" x14ac:dyDescent="0.25">
      <c r="B205" s="37"/>
      <c r="C205" s="38">
        <v>-38</v>
      </c>
      <c r="D205" s="39"/>
      <c r="E205" s="26">
        <f>SUM(E46,E60,E74,E88,E102)</f>
        <v>422.12</v>
      </c>
      <c r="F205" s="27">
        <f t="shared" si="83"/>
        <v>6.3821423387682041E-2</v>
      </c>
      <c r="G205" s="41"/>
    </row>
    <row r="206" spans="2:9" x14ac:dyDescent="0.25">
      <c r="B206" s="42"/>
      <c r="C206" s="43" t="s">
        <v>55</v>
      </c>
      <c r="D206" s="44"/>
      <c r="E206" s="26">
        <f>SUM(E47,E61,E75,E89,E103)</f>
        <v>6614.079999999999</v>
      </c>
      <c r="F206" s="27">
        <f>E206/$E$206</f>
        <v>1</v>
      </c>
      <c r="G206" s="45"/>
    </row>
    <row r="208" spans="2:9" ht="15.75" thickBot="1" x14ac:dyDescent="0.3">
      <c r="H208" s="30"/>
    </row>
    <row r="209" spans="2:8" ht="30.75" thickBot="1" x14ac:dyDescent="0.3">
      <c r="B209" s="21" t="s">
        <v>23</v>
      </c>
      <c r="C209" s="173" t="s">
        <v>24</v>
      </c>
      <c r="D209" s="174"/>
      <c r="E209" s="22" t="s">
        <v>25</v>
      </c>
      <c r="F209" s="23" t="s">
        <v>26</v>
      </c>
      <c r="G209" s="22" t="s">
        <v>27</v>
      </c>
      <c r="H209" s="76"/>
    </row>
    <row r="210" spans="2:8" ht="38.25" thickTop="1" x14ac:dyDescent="0.25">
      <c r="B210" s="10" t="s">
        <v>58</v>
      </c>
      <c r="C210" s="24" t="s">
        <v>43</v>
      </c>
      <c r="D210" s="25">
        <v>1180</v>
      </c>
      <c r="E210" s="26">
        <f>SUM(E121,E135,E149,E163,E177)</f>
        <v>300.83000000000004</v>
      </c>
      <c r="F210" s="27">
        <f>E210/$E$222</f>
        <v>4.3743156725348585E-2</v>
      </c>
      <c r="G210" s="28">
        <f>SUM(E211:$E$221)/$E$222</f>
        <v>0.95625684327465144</v>
      </c>
    </row>
    <row r="211" spans="2:8" x14ac:dyDescent="0.25">
      <c r="B211" s="29" t="s">
        <v>44</v>
      </c>
      <c r="C211" s="25" t="s">
        <v>45</v>
      </c>
      <c r="D211" s="25">
        <v>600</v>
      </c>
      <c r="E211" s="26">
        <f t="shared" ref="E211:E220" si="84">SUM(E122,E136,E150,E164,E178)</f>
        <v>1132.55</v>
      </c>
      <c r="F211" s="27">
        <f t="shared" ref="F211:F221" si="85">E211/$E$222</f>
        <v>0.16468208672437432</v>
      </c>
      <c r="G211" s="28">
        <f>SUM(E212:$E$221)/$E$222</f>
        <v>0.79157475655027709</v>
      </c>
    </row>
    <row r="212" spans="2:8" x14ac:dyDescent="0.25">
      <c r="B212" s="31">
        <f>FORECAST(0.8,D210:D211,G210:G211)</f>
        <v>629.67317999205352</v>
      </c>
      <c r="C212" s="25" t="s">
        <v>46</v>
      </c>
      <c r="D212" s="25">
        <v>425</v>
      </c>
      <c r="E212" s="26">
        <f t="shared" si="84"/>
        <v>1378.88</v>
      </c>
      <c r="F212" s="27">
        <f t="shared" si="85"/>
        <v>0.20050049511501064</v>
      </c>
      <c r="G212" s="28">
        <f>SUM(E213:$E$221)/$E$222</f>
        <v>0.59107426143526642</v>
      </c>
    </row>
    <row r="213" spans="2:8" x14ac:dyDescent="0.25">
      <c r="B213" s="32"/>
      <c r="C213" s="25" t="s">
        <v>47</v>
      </c>
      <c r="D213" s="25">
        <v>300</v>
      </c>
      <c r="E213" s="26">
        <f t="shared" si="84"/>
        <v>1756.9</v>
      </c>
      <c r="F213" s="27">
        <f t="shared" si="85"/>
        <v>0.25546771283038566</v>
      </c>
      <c r="G213" s="28">
        <f>SUM(E214:$E$221)/$E$222</f>
        <v>0.33560654860488076</v>
      </c>
    </row>
    <row r="214" spans="2:8" x14ac:dyDescent="0.25">
      <c r="B214" s="32"/>
      <c r="C214" s="33" t="s">
        <v>48</v>
      </c>
      <c r="D214" s="34">
        <v>212</v>
      </c>
      <c r="E214" s="26">
        <f t="shared" si="84"/>
        <v>915.76</v>
      </c>
      <c r="F214" s="27">
        <f t="shared" si="85"/>
        <v>0.13315903733937842</v>
      </c>
      <c r="G214" s="28">
        <f>SUM(E215:$E$221)/$E$222</f>
        <v>0.20244751126550231</v>
      </c>
    </row>
    <row r="215" spans="2:8" x14ac:dyDescent="0.25">
      <c r="B215" s="32"/>
      <c r="C215" s="33" t="s">
        <v>49</v>
      </c>
      <c r="D215" s="34">
        <v>180</v>
      </c>
      <c r="E215" s="26">
        <f t="shared" si="84"/>
        <v>143</v>
      </c>
      <c r="F215" s="27">
        <f t="shared" si="85"/>
        <v>2.0793376364474443E-2</v>
      </c>
      <c r="G215" s="28">
        <f>SUM(E216:$E$221)/$E$222</f>
        <v>0.18165413490102789</v>
      </c>
    </row>
    <row r="216" spans="2:8" x14ac:dyDescent="0.25">
      <c r="B216" s="32"/>
      <c r="C216" s="33" t="s">
        <v>50</v>
      </c>
      <c r="D216" s="34">
        <v>150</v>
      </c>
      <c r="E216" s="26">
        <f t="shared" si="84"/>
        <v>168.2</v>
      </c>
      <c r="F216" s="27">
        <f t="shared" si="85"/>
        <v>2.4457663667864341E-2</v>
      </c>
      <c r="G216" s="28">
        <f>SUM(E217:$E$221)/$E$222</f>
        <v>0.15719647123316352</v>
      </c>
    </row>
    <row r="217" spans="2:8" x14ac:dyDescent="0.25">
      <c r="B217" s="32"/>
      <c r="C217" s="33" t="s">
        <v>51</v>
      </c>
      <c r="D217" s="34">
        <v>106</v>
      </c>
      <c r="E217" s="26">
        <f t="shared" si="84"/>
        <v>203.5</v>
      </c>
      <c r="F217" s="27">
        <f t="shared" si="85"/>
        <v>2.9590574057136707E-2</v>
      </c>
      <c r="G217" s="28">
        <f>SUM(E218:$E$221)/$E$222</f>
        <v>0.12760589717602683</v>
      </c>
    </row>
    <row r="218" spans="2:8" x14ac:dyDescent="0.25">
      <c r="B218" s="32"/>
      <c r="C218" s="33" t="s">
        <v>52</v>
      </c>
      <c r="D218" s="34">
        <v>75</v>
      </c>
      <c r="E218" s="26">
        <f t="shared" si="84"/>
        <v>139.02000000000001</v>
      </c>
      <c r="F218" s="27">
        <f t="shared" si="85"/>
        <v>2.0214651623700959E-2</v>
      </c>
      <c r="G218" s="28">
        <f>SUM(E219:$E$221)/$E$222</f>
        <v>0.10739124555232586</v>
      </c>
    </row>
    <row r="219" spans="2:8" x14ac:dyDescent="0.25">
      <c r="B219" s="32"/>
      <c r="C219" s="33" t="s">
        <v>53</v>
      </c>
      <c r="D219" s="34">
        <v>53</v>
      </c>
      <c r="E219" s="26">
        <f t="shared" si="84"/>
        <v>117.14</v>
      </c>
      <c r="F219" s="27">
        <f t="shared" si="85"/>
        <v>1.7033119631710045E-2</v>
      </c>
      <c r="G219" s="28">
        <f>SUM(E220:$E$221)/$E$222</f>
        <v>9.0358125920615817E-2</v>
      </c>
    </row>
    <row r="220" spans="2:8" x14ac:dyDescent="0.25">
      <c r="B220" s="32"/>
      <c r="C220" s="33" t="s">
        <v>54</v>
      </c>
      <c r="D220" s="34">
        <v>38</v>
      </c>
      <c r="E220" s="26">
        <f t="shared" si="84"/>
        <v>91.009999999999991</v>
      </c>
      <c r="F220" s="27">
        <f t="shared" si="85"/>
        <v>1.3233602677837894E-2</v>
      </c>
      <c r="G220" s="28">
        <f>SUM(E221:$E$221)/$E$222</f>
        <v>7.7124523242777923E-2</v>
      </c>
    </row>
    <row r="221" spans="2:8" x14ac:dyDescent="0.25">
      <c r="B221" s="37"/>
      <c r="C221" s="38">
        <v>-38</v>
      </c>
      <c r="D221" s="39"/>
      <c r="E221" s="26">
        <f>SUM(E132,E146,E160,E174,E188)</f>
        <v>530.4</v>
      </c>
      <c r="F221" s="27">
        <f t="shared" si="85"/>
        <v>7.7124523242777923E-2</v>
      </c>
      <c r="G221" s="41"/>
    </row>
    <row r="222" spans="2:8" x14ac:dyDescent="0.25">
      <c r="B222" s="42"/>
      <c r="C222" s="43" t="s">
        <v>55</v>
      </c>
      <c r="D222" s="44"/>
      <c r="E222" s="26">
        <f>SUM(E133,E147,E161,E175,E189)</f>
        <v>6877.1900000000005</v>
      </c>
      <c r="F222" s="27">
        <f>E222/$E$189</f>
        <v>3.5574309819521099</v>
      </c>
      <c r="G222" s="45"/>
    </row>
    <row r="225" spans="6:6" x14ac:dyDescent="0.25">
      <c r="F225" s="77"/>
    </row>
  </sheetData>
  <mergeCells count="15">
    <mergeCell ref="C76:D76"/>
    <mergeCell ref="B1:G3"/>
    <mergeCell ref="C20:D20"/>
    <mergeCell ref="C34:D34"/>
    <mergeCell ref="C48:D48"/>
    <mergeCell ref="C62:D62"/>
    <mergeCell ref="C176:D176"/>
    <mergeCell ref="C193:D193"/>
    <mergeCell ref="C209:D209"/>
    <mergeCell ref="C90:D90"/>
    <mergeCell ref="C106:D106"/>
    <mergeCell ref="C120:D120"/>
    <mergeCell ref="C134:D134"/>
    <mergeCell ref="C148:D148"/>
    <mergeCell ref="C162:D162"/>
  </mergeCells>
  <conditionalFormatting sqref="C11:G12 C17:G17">
    <cfRule type="cellIs" dxfId="2" priority="1" operator="greaterThan">
      <formula>0.7</formula>
    </cfRule>
  </conditionalFormatting>
  <pageMargins left="0.7" right="0.7" top="1.3" bottom="0.75" header="0.3" footer="0.3"/>
  <pageSetup scale="72" orientation="landscape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8D72E-7914-4ED0-8FB4-FC1EF1EEA4C5}">
  <sheetPr>
    <pageSetUpPr fitToPage="1"/>
  </sheetPr>
  <dimension ref="A1:W229"/>
  <sheetViews>
    <sheetView topLeftCell="A20" zoomScale="85" zoomScaleNormal="85" workbookViewId="0">
      <pane xSplit="9" ySplit="1" topLeftCell="J21" activePane="bottomRight" state="frozen"/>
      <selection activeCell="A20" sqref="A20"/>
      <selection pane="topRight" activeCell="J20" sqref="J20"/>
      <selection pane="bottomLeft" activeCell="A21" sqref="A21"/>
      <selection pane="bottomRight" activeCell="E122" sqref="E122"/>
    </sheetView>
  </sheetViews>
  <sheetFormatPr defaultRowHeight="15" x14ac:dyDescent="0.25"/>
  <cols>
    <col min="1" max="1" width="23.140625" customWidth="1"/>
    <col min="2" max="5" width="17" customWidth="1"/>
    <col min="6" max="6" width="17" style="20" customWidth="1"/>
    <col min="7" max="7" width="17" customWidth="1"/>
    <col min="8" max="8" width="28.7109375" hidden="1" customWidth="1"/>
    <col min="9" max="9" width="25.5703125" hidden="1" customWidth="1"/>
    <col min="10" max="10" width="8" customWidth="1"/>
    <col min="11" max="11" width="8.28515625" customWidth="1"/>
    <col min="12" max="12" width="7.140625" customWidth="1"/>
    <col min="13" max="13" width="7.85546875" customWidth="1"/>
    <col min="14" max="14" width="5.85546875" customWidth="1"/>
    <col min="15" max="15" width="8" customWidth="1"/>
    <col min="16" max="16" width="6.85546875" customWidth="1"/>
    <col min="17" max="17" width="8.5703125" customWidth="1"/>
    <col min="18" max="18" width="10.140625" customWidth="1"/>
    <col min="22" max="22" width="21.42578125" bestFit="1" customWidth="1"/>
  </cols>
  <sheetData>
    <row r="1" spans="1:13" ht="22.5" customHeight="1" x14ac:dyDescent="0.25">
      <c r="A1" s="2"/>
      <c r="B1" s="176" t="s">
        <v>1</v>
      </c>
      <c r="C1" s="176"/>
      <c r="D1" s="176"/>
      <c r="E1" s="176"/>
      <c r="F1" s="176"/>
      <c r="G1" s="176"/>
    </row>
    <row r="2" spans="1:13" ht="22.5" customHeight="1" x14ac:dyDescent="0.25">
      <c r="A2" s="2"/>
      <c r="B2" s="176"/>
      <c r="C2" s="176"/>
      <c r="D2" s="176"/>
      <c r="E2" s="176"/>
      <c r="F2" s="176"/>
      <c r="G2" s="176"/>
    </row>
    <row r="3" spans="1:13" ht="22.5" customHeight="1" x14ac:dyDescent="0.25">
      <c r="A3" s="2"/>
      <c r="B3" s="176"/>
      <c r="C3" s="176"/>
      <c r="D3" s="176"/>
      <c r="E3" s="176"/>
      <c r="F3" s="176"/>
      <c r="G3" s="176"/>
    </row>
    <row r="4" spans="1:13" ht="22.5" customHeight="1" x14ac:dyDescent="0.25">
      <c r="A4" s="2"/>
      <c r="B4" s="3" t="s">
        <v>2</v>
      </c>
      <c r="C4" s="4">
        <v>41926</v>
      </c>
      <c r="D4" s="5"/>
      <c r="E4" s="5"/>
      <c r="F4" s="5"/>
      <c r="G4" s="5"/>
    </row>
    <row r="5" spans="1:13" ht="22.5" customHeight="1" x14ac:dyDescent="0.25">
      <c r="A5" s="2"/>
      <c r="B5" s="3" t="s">
        <v>3</v>
      </c>
      <c r="C5" s="6">
        <v>0.61111111111111105</v>
      </c>
      <c r="D5" s="5"/>
      <c r="E5" s="5"/>
      <c r="F5" s="5"/>
      <c r="G5" s="5"/>
    </row>
    <row r="6" spans="1:13" ht="22.5" customHeight="1" thickBot="1" x14ac:dyDescent="0.3">
      <c r="A6" s="2"/>
      <c r="B6" s="7"/>
      <c r="C6" s="7"/>
      <c r="D6" s="7"/>
      <c r="E6" s="7"/>
      <c r="F6" s="8"/>
      <c r="G6" s="8"/>
    </row>
    <row r="7" spans="1:13" ht="23.25" customHeight="1" thickTop="1" x14ac:dyDescent="0.25">
      <c r="A7" s="9" t="s">
        <v>4</v>
      </c>
      <c r="B7" s="10" t="s">
        <v>5</v>
      </c>
      <c r="C7" s="10" t="s">
        <v>6</v>
      </c>
      <c r="D7" s="10" t="s">
        <v>7</v>
      </c>
      <c r="E7" s="10" t="s">
        <v>8</v>
      </c>
      <c r="F7" s="10" t="s">
        <v>9</v>
      </c>
      <c r="G7" s="10" t="s">
        <v>10</v>
      </c>
    </row>
    <row r="8" spans="1:13" ht="23.25" customHeight="1" x14ac:dyDescent="0.25">
      <c r="A8" s="11" t="s">
        <v>11</v>
      </c>
      <c r="B8" s="12">
        <v>530</v>
      </c>
      <c r="C8" s="12">
        <v>542</v>
      </c>
      <c r="D8" s="12">
        <v>534</v>
      </c>
      <c r="E8" s="12">
        <v>536</v>
      </c>
      <c r="F8" s="12">
        <v>536</v>
      </c>
      <c r="G8" s="12">
        <v>536</v>
      </c>
    </row>
    <row r="9" spans="1:13" ht="23.25" customHeight="1" x14ac:dyDescent="0.25">
      <c r="A9" s="11" t="s">
        <v>12</v>
      </c>
      <c r="B9" s="12">
        <v>2992</v>
      </c>
      <c r="C9" s="12">
        <v>3698</v>
      </c>
      <c r="D9" s="12">
        <v>3910</v>
      </c>
      <c r="E9" s="12">
        <v>3806</v>
      </c>
      <c r="F9" s="12">
        <v>4208</v>
      </c>
      <c r="G9" s="12">
        <v>2220</v>
      </c>
    </row>
    <row r="10" spans="1:13" ht="23.25" customHeight="1" x14ac:dyDescent="0.25">
      <c r="A10" s="11" t="s">
        <v>13</v>
      </c>
      <c r="B10" s="13">
        <f>$E33</f>
        <v>1006.19</v>
      </c>
      <c r="C10" s="13">
        <f>$E47</f>
        <v>1820.9700000000003</v>
      </c>
      <c r="D10" s="13">
        <f>$E61</f>
        <v>1979.04</v>
      </c>
      <c r="E10" s="13">
        <f>$E75</f>
        <v>1990.3600000000004</v>
      </c>
      <c r="F10" s="13">
        <f>$E89</f>
        <v>2238.6999999999998</v>
      </c>
      <c r="G10" s="13">
        <f>$E103</f>
        <v>1305.6500000000001</v>
      </c>
    </row>
    <row r="11" spans="1:13" ht="23.25" customHeight="1" x14ac:dyDescent="0.25">
      <c r="A11" s="14" t="s">
        <v>14</v>
      </c>
      <c r="B11" s="15">
        <f t="shared" ref="B11:F11" si="0">B10/(B9-B8)</f>
        <v>0.40868805848903333</v>
      </c>
      <c r="C11" s="15">
        <f t="shared" si="0"/>
        <v>0.57698669201520925</v>
      </c>
      <c r="D11" s="15">
        <f t="shared" si="0"/>
        <v>0.58620853080568724</v>
      </c>
      <c r="E11" s="15">
        <f t="shared" si="0"/>
        <v>0.60867278287461779</v>
      </c>
      <c r="F11" s="15">
        <f t="shared" si="0"/>
        <v>0.60966775599128531</v>
      </c>
      <c r="G11" s="15">
        <f>G10/(G9-G8)</f>
        <v>0.7753266033254157</v>
      </c>
    </row>
    <row r="12" spans="1:13" ht="23.25" customHeight="1" thickBot="1" x14ac:dyDescent="0.3">
      <c r="A12" s="16"/>
      <c r="B12" s="17"/>
      <c r="C12" s="17"/>
      <c r="D12" s="17"/>
      <c r="E12" s="17"/>
      <c r="F12" s="17"/>
      <c r="G12" s="17"/>
      <c r="H12" s="17"/>
      <c r="I12" s="17"/>
      <c r="K12" s="17"/>
      <c r="L12" s="17"/>
      <c r="M12" s="17"/>
    </row>
    <row r="13" spans="1:13" ht="23.25" customHeight="1" thickTop="1" x14ac:dyDescent="0.25">
      <c r="A13" s="9" t="s">
        <v>4</v>
      </c>
      <c r="B13" s="10" t="s">
        <v>15</v>
      </c>
      <c r="C13" s="10" t="s">
        <v>16</v>
      </c>
      <c r="D13" s="10" t="s">
        <v>17</v>
      </c>
      <c r="E13" s="10" t="s">
        <v>18</v>
      </c>
      <c r="F13" s="10" t="s">
        <v>19</v>
      </c>
      <c r="G13" s="10" t="s">
        <v>20</v>
      </c>
      <c r="H13" s="17"/>
      <c r="I13" s="17"/>
      <c r="K13" s="17"/>
      <c r="L13" s="17"/>
      <c r="M13" s="17"/>
    </row>
    <row r="14" spans="1:13" ht="23.25" customHeight="1" x14ac:dyDescent="0.25">
      <c r="A14" s="11" t="s">
        <v>11</v>
      </c>
      <c r="B14" s="12">
        <v>536</v>
      </c>
      <c r="C14" s="12">
        <v>538</v>
      </c>
      <c r="D14" s="12">
        <v>532</v>
      </c>
      <c r="E14" s="12">
        <v>532</v>
      </c>
      <c r="F14" s="12">
        <v>532</v>
      </c>
      <c r="G14" s="12">
        <v>532</v>
      </c>
      <c r="H14" s="17"/>
      <c r="I14" s="17"/>
      <c r="K14" s="17"/>
      <c r="L14" s="17"/>
      <c r="M14" s="17"/>
    </row>
    <row r="15" spans="1:13" ht="23.25" customHeight="1" x14ac:dyDescent="0.25">
      <c r="A15" s="11" t="s">
        <v>12</v>
      </c>
      <c r="B15" s="18">
        <v>2944</v>
      </c>
      <c r="C15" s="12">
        <v>4114</v>
      </c>
      <c r="D15" s="12">
        <v>2818</v>
      </c>
      <c r="E15" s="12">
        <v>1198</v>
      </c>
      <c r="F15" s="12">
        <v>4160</v>
      </c>
      <c r="G15" s="12">
        <v>4408</v>
      </c>
      <c r="H15" s="17"/>
      <c r="I15" s="17"/>
      <c r="K15" s="17"/>
      <c r="L15" s="17"/>
      <c r="M15" s="17"/>
    </row>
    <row r="16" spans="1:13" ht="23.25" customHeight="1" x14ac:dyDescent="0.25">
      <c r="A16" s="11" t="s">
        <v>13</v>
      </c>
      <c r="B16" s="19">
        <f>$E119</f>
        <v>937.31000000000006</v>
      </c>
      <c r="C16" s="19">
        <f>$E133</f>
        <v>2033.9899999999998</v>
      </c>
      <c r="D16" s="19">
        <f>$E147</f>
        <v>1824.5900000000001</v>
      </c>
      <c r="E16" s="19">
        <f>$E161</f>
        <v>474.34</v>
      </c>
      <c r="F16" s="19">
        <f>$E175</f>
        <v>2120.91</v>
      </c>
      <c r="G16" s="19">
        <f>$E189</f>
        <v>2449.84</v>
      </c>
      <c r="H16" s="17"/>
      <c r="I16" s="17"/>
      <c r="K16" s="17"/>
      <c r="L16" s="17"/>
      <c r="M16" s="17"/>
    </row>
    <row r="17" spans="1:23" ht="23.25" customHeight="1" x14ac:dyDescent="0.25">
      <c r="A17" s="14" t="s">
        <v>14</v>
      </c>
      <c r="B17" s="15">
        <f t="shared" ref="B17:G17" si="1">B16/(B15-B14)</f>
        <v>0.38924833887043192</v>
      </c>
      <c r="C17" s="15">
        <f t="shared" si="1"/>
        <v>0.56878914988814311</v>
      </c>
      <c r="D17" s="15">
        <f t="shared" si="1"/>
        <v>0.79815835520559941</v>
      </c>
      <c r="E17" s="15">
        <f t="shared" si="1"/>
        <v>0.7122222222222222</v>
      </c>
      <c r="F17" s="15">
        <f t="shared" si="1"/>
        <v>0.58459481808158764</v>
      </c>
      <c r="G17" s="15">
        <f t="shared" si="1"/>
        <v>0.63205366357069148</v>
      </c>
      <c r="H17" s="17"/>
      <c r="I17" s="17"/>
      <c r="K17" s="17"/>
      <c r="L17" s="17"/>
      <c r="M17" s="17"/>
    </row>
    <row r="18" spans="1:23" ht="39" customHeight="1" x14ac:dyDescent="0.25">
      <c r="A18" s="16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T18" t="s">
        <v>22</v>
      </c>
    </row>
    <row r="19" spans="1:23" ht="15.75" thickBot="1" x14ac:dyDescent="0.3">
      <c r="J19" t="s">
        <v>59</v>
      </c>
      <c r="T19" t="s">
        <v>38</v>
      </c>
      <c r="U19" t="s">
        <v>39</v>
      </c>
      <c r="V19" t="s">
        <v>40</v>
      </c>
      <c r="W19" t="s">
        <v>41</v>
      </c>
    </row>
    <row r="20" spans="1:23" ht="30.75" thickBot="1" x14ac:dyDescent="0.3">
      <c r="B20" s="21" t="s">
        <v>23</v>
      </c>
      <c r="C20" s="173" t="s">
        <v>24</v>
      </c>
      <c r="D20" s="174"/>
      <c r="E20" s="22" t="s">
        <v>25</v>
      </c>
      <c r="F20" s="23" t="s">
        <v>26</v>
      </c>
      <c r="G20" s="22" t="s">
        <v>27</v>
      </c>
      <c r="H20" t="s">
        <v>28</v>
      </c>
      <c r="J20" t="s">
        <v>29</v>
      </c>
      <c r="K20" t="s">
        <v>30</v>
      </c>
      <c r="L20" t="s">
        <v>31</v>
      </c>
      <c r="M20" t="s">
        <v>32</v>
      </c>
      <c r="N20" t="s">
        <v>33</v>
      </c>
      <c r="O20" t="s">
        <v>34</v>
      </c>
      <c r="P20" t="s">
        <v>35</v>
      </c>
      <c r="Q20" t="s">
        <v>36</v>
      </c>
      <c r="R20" t="s">
        <v>37</v>
      </c>
    </row>
    <row r="21" spans="1:23" ht="57" thickTop="1" x14ac:dyDescent="0.25">
      <c r="B21" s="10" t="s">
        <v>60</v>
      </c>
      <c r="C21" s="24" t="s">
        <v>43</v>
      </c>
      <c r="D21" s="25">
        <v>1180</v>
      </c>
      <c r="E21" s="26">
        <v>67.64</v>
      </c>
      <c r="F21" s="27">
        <f t="shared" ref="F21:F33" si="2">E21/$E$33</f>
        <v>6.7223884157067745E-2</v>
      </c>
      <c r="G21" s="28">
        <f>SUM(E22:E$32)/$E$33</f>
        <v>0.9327761158429323</v>
      </c>
    </row>
    <row r="22" spans="1:23" x14ac:dyDescent="0.25">
      <c r="B22" s="29" t="s">
        <v>44</v>
      </c>
      <c r="C22" s="25" t="s">
        <v>45</v>
      </c>
      <c r="D22" s="25">
        <v>600</v>
      </c>
      <c r="E22" s="26">
        <v>111.49</v>
      </c>
      <c r="F22" s="27">
        <f t="shared" si="2"/>
        <v>0.11080412248183742</v>
      </c>
      <c r="G22" s="28">
        <f>SUM(E23:E$32)/$E$33</f>
        <v>0.82197199336109483</v>
      </c>
      <c r="J22" s="30"/>
    </row>
    <row r="23" spans="1:23" x14ac:dyDescent="0.25">
      <c r="B23" s="31">
        <f>FORECAST(0.8,D22:D23,G22:G23)</f>
        <v>566.78770709932178</v>
      </c>
      <c r="C23" s="25" t="s">
        <v>46</v>
      </c>
      <c r="D23" s="25">
        <v>425</v>
      </c>
      <c r="E23" s="26">
        <v>116.49</v>
      </c>
      <c r="F23" s="27">
        <f t="shared" si="2"/>
        <v>0.11577336288374958</v>
      </c>
      <c r="G23" s="28">
        <f>SUM(E24:E$32)/$E$33</f>
        <v>0.70619863047734521</v>
      </c>
    </row>
    <row r="24" spans="1:23" x14ac:dyDescent="0.25">
      <c r="B24" s="32"/>
      <c r="C24" s="25" t="s">
        <v>47</v>
      </c>
      <c r="D24" s="25">
        <v>300</v>
      </c>
      <c r="E24" s="26">
        <v>168.21</v>
      </c>
      <c r="F24" s="27">
        <f t="shared" si="2"/>
        <v>0.16717518560112901</v>
      </c>
      <c r="G24" s="28">
        <f>SUM(E25:E$32)/$E$33</f>
        <v>0.53902344487621623</v>
      </c>
    </row>
    <row r="25" spans="1:23" x14ac:dyDescent="0.25">
      <c r="B25" s="32"/>
      <c r="C25" s="33" t="s">
        <v>48</v>
      </c>
      <c r="D25" s="34">
        <v>212</v>
      </c>
      <c r="E25" s="35">
        <v>137.16</v>
      </c>
      <c r="F25" s="27">
        <f t="shared" si="2"/>
        <v>0.13631620270525446</v>
      </c>
      <c r="G25" s="28">
        <f>SUM(E26:E$32)/$E$33</f>
        <v>0.40270724217096165</v>
      </c>
      <c r="H25" s="36">
        <f>SUM(F26:F32)*100</f>
        <v>40.270724217096166</v>
      </c>
    </row>
    <row r="26" spans="1:23" x14ac:dyDescent="0.25">
      <c r="B26" s="32"/>
      <c r="C26" s="33" t="s">
        <v>49</v>
      </c>
      <c r="D26" s="34">
        <v>180</v>
      </c>
      <c r="E26" s="35">
        <v>34.6</v>
      </c>
      <c r="F26" s="27">
        <f t="shared" si="2"/>
        <v>3.4387143581232175E-2</v>
      </c>
      <c r="G26" s="28">
        <f>SUM(E27:E$32)/$E$33</f>
        <v>0.36832009858972958</v>
      </c>
    </row>
    <row r="27" spans="1:23" x14ac:dyDescent="0.25">
      <c r="B27" s="32"/>
      <c r="C27" s="33" t="s">
        <v>50</v>
      </c>
      <c r="D27" s="34">
        <v>150</v>
      </c>
      <c r="E27" s="35">
        <v>47.15</v>
      </c>
      <c r="F27" s="27">
        <f t="shared" si="2"/>
        <v>4.68599369900317E-2</v>
      </c>
      <c r="G27" s="28">
        <f>SUM(E28:E$32)/$E$33</f>
        <v>0.32146016159969787</v>
      </c>
    </row>
    <row r="28" spans="1:23" x14ac:dyDescent="0.25">
      <c r="B28" s="32"/>
      <c r="C28" s="33" t="s">
        <v>51</v>
      </c>
      <c r="D28" s="34">
        <v>106</v>
      </c>
      <c r="E28" s="35">
        <v>71.150000000000006</v>
      </c>
      <c r="F28" s="27">
        <f t="shared" si="2"/>
        <v>7.0712290919210094E-2</v>
      </c>
      <c r="G28" s="28">
        <f>SUM(E29:E$32)/$E$33</f>
        <v>0.25074787068048776</v>
      </c>
    </row>
    <row r="29" spans="1:23" x14ac:dyDescent="0.25">
      <c r="B29" s="32"/>
      <c r="C29" s="33" t="s">
        <v>52</v>
      </c>
      <c r="D29" s="34">
        <v>75</v>
      </c>
      <c r="E29" s="35">
        <v>45.1</v>
      </c>
      <c r="F29" s="27">
        <f t="shared" si="2"/>
        <v>4.4822548425247716E-2</v>
      </c>
      <c r="G29" s="28">
        <f>SUM(E30:E$32)/$E$33</f>
        <v>0.20592532225524005</v>
      </c>
    </row>
    <row r="30" spans="1:23" x14ac:dyDescent="0.25">
      <c r="B30" s="32"/>
      <c r="C30" s="33" t="s">
        <v>53</v>
      </c>
      <c r="D30" s="34">
        <v>53</v>
      </c>
      <c r="E30" s="35">
        <v>44.14</v>
      </c>
      <c r="F30" s="27">
        <f t="shared" si="2"/>
        <v>4.386845426808058E-2</v>
      </c>
      <c r="G30" s="28">
        <f>SUM(E31:E$32)/$E$33</f>
        <v>0.16205686798715949</v>
      </c>
    </row>
    <row r="31" spans="1:23" x14ac:dyDescent="0.25">
      <c r="B31" s="32"/>
      <c r="C31" s="33" t="s">
        <v>54</v>
      </c>
      <c r="D31" s="34">
        <v>38</v>
      </c>
      <c r="E31" s="35">
        <v>29.21</v>
      </c>
      <c r="F31" s="27">
        <f t="shared" si="2"/>
        <v>2.9030302427970861E-2</v>
      </c>
      <c r="G31" s="28">
        <f>SUM(E32:E$32)/$E$33</f>
        <v>0.1330265655591886</v>
      </c>
    </row>
    <row r="32" spans="1:23" x14ac:dyDescent="0.25">
      <c r="B32" s="37"/>
      <c r="C32" s="38">
        <v>-38</v>
      </c>
      <c r="D32" s="39"/>
      <c r="E32" s="40">
        <v>133.85</v>
      </c>
      <c r="F32" s="27">
        <f>E32/$E$33</f>
        <v>0.1330265655591886</v>
      </c>
      <c r="G32" s="41"/>
    </row>
    <row r="33" spans="2:23" ht="15.75" thickBot="1" x14ac:dyDescent="0.3">
      <c r="B33" s="42"/>
      <c r="C33" s="43" t="s">
        <v>55</v>
      </c>
      <c r="D33" s="44"/>
      <c r="E33" s="45">
        <f>SUM(E21:E32)</f>
        <v>1006.19</v>
      </c>
      <c r="F33" s="27">
        <f t="shared" si="2"/>
        <v>1</v>
      </c>
      <c r="G33" s="45"/>
    </row>
    <row r="34" spans="2:23" ht="33" customHeight="1" thickBot="1" x14ac:dyDescent="0.3">
      <c r="B34" s="21" t="s">
        <v>23</v>
      </c>
      <c r="C34" s="173" t="s">
        <v>24</v>
      </c>
      <c r="D34" s="174"/>
      <c r="E34" s="22" t="s">
        <v>25</v>
      </c>
      <c r="F34" s="23" t="s">
        <v>26</v>
      </c>
      <c r="G34" s="22" t="s">
        <v>27</v>
      </c>
      <c r="J34" s="46"/>
      <c r="K34" s="46"/>
      <c r="L34" s="46"/>
      <c r="M34" s="46"/>
      <c r="N34" s="46"/>
      <c r="O34" s="46"/>
    </row>
    <row r="35" spans="2:23" ht="38.25" thickTop="1" x14ac:dyDescent="0.25">
      <c r="B35" s="10" t="s">
        <v>6</v>
      </c>
      <c r="C35" s="24" t="s">
        <v>43</v>
      </c>
      <c r="D35" s="25">
        <v>1180</v>
      </c>
      <c r="E35" s="26">
        <f>97.01+92.5</f>
        <v>189.51</v>
      </c>
      <c r="F35" s="27">
        <f>E35/$E$47</f>
        <v>0.10407090726371108</v>
      </c>
      <c r="G35" s="47">
        <f>SUM(E36:E$46)/$E$47</f>
        <v>0.89592909273628896</v>
      </c>
      <c r="J35" s="30"/>
      <c r="K35" s="30"/>
      <c r="L35" s="30"/>
      <c r="M35" s="30"/>
      <c r="N35" s="30"/>
      <c r="O35" s="30"/>
    </row>
    <row r="36" spans="2:23" x14ac:dyDescent="0.25">
      <c r="B36" s="29" t="s">
        <v>44</v>
      </c>
      <c r="C36" s="25" t="s">
        <v>45</v>
      </c>
      <c r="D36" s="25">
        <v>600</v>
      </c>
      <c r="E36" s="26">
        <f>154.87+163.38</f>
        <v>318.25</v>
      </c>
      <c r="F36" s="27">
        <f>E36/$E$47</f>
        <v>0.17476949098557359</v>
      </c>
      <c r="G36" s="47">
        <f>SUM(E37:E$46)/$E$47</f>
        <v>0.72115960175071536</v>
      </c>
    </row>
    <row r="37" spans="2:23" x14ac:dyDescent="0.25">
      <c r="B37" s="31">
        <f>FORECAST(0.8,D36:D37,G36:G37)</f>
        <v>669.56102220499463</v>
      </c>
      <c r="C37" s="25" t="s">
        <v>46</v>
      </c>
      <c r="D37" s="25">
        <v>425</v>
      </c>
      <c r="E37" s="26">
        <f>167.36+193.82</f>
        <v>361.18</v>
      </c>
      <c r="F37" s="27">
        <f t="shared" ref="F37:F47" si="3">E37/$E$47</f>
        <v>0.19834483819063464</v>
      </c>
      <c r="G37" s="47">
        <f>SUM(E38:E$46)/$E$47</f>
        <v>0.52281476356008061</v>
      </c>
      <c r="J37" s="30"/>
    </row>
    <row r="38" spans="2:23" x14ac:dyDescent="0.25">
      <c r="B38" s="32"/>
      <c r="C38" s="25" t="s">
        <v>47</v>
      </c>
      <c r="D38" s="25">
        <v>300</v>
      </c>
      <c r="E38" s="26">
        <f>211.13+244.56</f>
        <v>455.69</v>
      </c>
      <c r="F38" s="27">
        <f t="shared" si="3"/>
        <v>0.25024574814521927</v>
      </c>
      <c r="G38" s="47">
        <f>SUM(E39:E$46)/$E$47</f>
        <v>0.27256901541486128</v>
      </c>
      <c r="H38" s="30"/>
      <c r="J38" s="53">
        <f>SUM($F$21:F24)</f>
        <v>0.46097655512378377</v>
      </c>
      <c r="K38" s="53">
        <f>1-J38</f>
        <v>0.53902344487621623</v>
      </c>
      <c r="L38" s="53">
        <f>SUM($F$35:F38)</f>
        <v>0.72743098458513855</v>
      </c>
      <c r="M38" s="53">
        <v>1</v>
      </c>
      <c r="N38" s="78">
        <f>+(L38-J38)/(L38+M38-1)</f>
        <v>0.36629513329476404</v>
      </c>
      <c r="O38" s="79">
        <f>1-N38</f>
        <v>0.63370486670523596</v>
      </c>
      <c r="P38" s="78">
        <f>+N38*M38/K38</f>
        <v>0.67955324907784243</v>
      </c>
      <c r="Q38" s="78">
        <f>+O38*L38/J38</f>
        <v>1</v>
      </c>
      <c r="R38" s="80">
        <f t="shared" ref="R38:R45" si="4">+N38*M38+O38*L38</f>
        <v>0.82727168841854781</v>
      </c>
    </row>
    <row r="39" spans="2:23" x14ac:dyDescent="0.25">
      <c r="B39" s="32"/>
      <c r="C39" s="33" t="s">
        <v>48</v>
      </c>
      <c r="D39" s="34">
        <v>212</v>
      </c>
      <c r="E39" s="51">
        <f>101.8+113.69</f>
        <v>215.49</v>
      </c>
      <c r="F39" s="27">
        <f t="shared" si="3"/>
        <v>0.11833802863309115</v>
      </c>
      <c r="G39" s="47">
        <f>SUM(E40:E$46)/$E$47</f>
        <v>0.15423098678177014</v>
      </c>
      <c r="H39" s="36">
        <f>SUM(F40:F46)*100</f>
        <v>15.423098678177013</v>
      </c>
      <c r="I39" s="52">
        <f>($I$194-H39)/($I$194*(100-H39))*10000</f>
        <v>72.953088708822037</v>
      </c>
      <c r="J39" s="48">
        <f>SUM($F$21:F25)</f>
        <v>0.59729275782903823</v>
      </c>
      <c r="K39" s="48">
        <f>1-J39</f>
        <v>0.40270724217096177</v>
      </c>
      <c r="L39" s="48">
        <f>SUM($F$35:F39)</f>
        <v>0.84576901321822973</v>
      </c>
      <c r="M39" s="53">
        <v>0.87239999999999995</v>
      </c>
      <c r="N39" s="20">
        <f>+(L39-J39)/(L39+M39-1)</f>
        <v>0.34598576493258854</v>
      </c>
      <c r="O39" s="49">
        <f t="shared" ref="O39:O45" si="5">1-N39</f>
        <v>0.65401423506741141</v>
      </c>
      <c r="P39" s="20">
        <f t="shared" ref="P39:P44" si="6">+N39*M39/K39</f>
        <v>0.74952210866635116</v>
      </c>
      <c r="Q39" s="20">
        <f t="shared" ref="Q39:Q44" si="7">+O39*L39/J39</f>
        <v>0.92608685937217627</v>
      </c>
      <c r="R39" s="50">
        <f t="shared" si="4"/>
        <v>0.85498295555083004</v>
      </c>
    </row>
    <row r="40" spans="2:23" x14ac:dyDescent="0.25">
      <c r="B40" s="32"/>
      <c r="C40" s="33" t="s">
        <v>49</v>
      </c>
      <c r="D40" s="34">
        <v>180</v>
      </c>
      <c r="E40" s="51">
        <f>15.89+16.13</f>
        <v>32.019999999999996</v>
      </c>
      <c r="F40" s="27">
        <f t="shared" si="3"/>
        <v>1.7584034882507669E-2</v>
      </c>
      <c r="G40" s="47">
        <f>SUM(E41:E$46)/$E$47</f>
        <v>0.13664695189926249</v>
      </c>
      <c r="J40" s="48">
        <f>SUM($F$21:F26)</f>
        <v>0.63167990141027042</v>
      </c>
      <c r="K40" s="48">
        <f t="shared" ref="K40:K45" si="8">1-J40</f>
        <v>0.36832009858972958</v>
      </c>
      <c r="L40" s="48">
        <f>SUM($F$35:F40)</f>
        <v>0.86335304810073743</v>
      </c>
      <c r="M40" s="48">
        <v>1</v>
      </c>
      <c r="N40" s="20">
        <f t="shared" ref="N40:N44" si="9">+(L40-J40)/(L40+M40-1)</f>
        <v>0.2683411464175835</v>
      </c>
      <c r="O40" s="49">
        <f t="shared" si="5"/>
        <v>0.73165885358241645</v>
      </c>
      <c r="P40" s="20">
        <f t="shared" si="6"/>
        <v>0.72855417731761563</v>
      </c>
      <c r="Q40" s="20">
        <f t="shared" si="7"/>
        <v>1</v>
      </c>
      <c r="R40" s="50">
        <f t="shared" si="4"/>
        <v>0.90002104782785386</v>
      </c>
    </row>
    <row r="41" spans="2:23" x14ac:dyDescent="0.25">
      <c r="B41" s="32"/>
      <c r="C41" s="33" t="s">
        <v>50</v>
      </c>
      <c r="D41" s="34">
        <v>150</v>
      </c>
      <c r="E41" s="35">
        <f>11.48+17.22</f>
        <v>28.7</v>
      </c>
      <c r="F41" s="27">
        <f t="shared" si="3"/>
        <v>1.5760830766020306E-2</v>
      </c>
      <c r="G41" s="47">
        <f>SUM(E42:E$46)/$E$47</f>
        <v>0.12088612113324215</v>
      </c>
      <c r="J41" s="48">
        <f>SUM($F$21:F27)</f>
        <v>0.67853983840030208</v>
      </c>
      <c r="K41" s="48">
        <f t="shared" si="8"/>
        <v>0.32146016159969792</v>
      </c>
      <c r="L41" s="48">
        <f>SUM($F$35:F41)</f>
        <v>0.87911387886675774</v>
      </c>
      <c r="M41" s="48">
        <v>1</v>
      </c>
      <c r="N41" s="20">
        <f t="shared" si="9"/>
        <v>0.22815478777904211</v>
      </c>
      <c r="O41" s="49">
        <f t="shared" si="5"/>
        <v>0.77184521222095792</v>
      </c>
      <c r="P41" s="20">
        <f t="shared" si="6"/>
        <v>0.70974514118223631</v>
      </c>
      <c r="Q41" s="20">
        <f t="shared" si="7"/>
        <v>1</v>
      </c>
      <c r="R41" s="50">
        <f t="shared" si="4"/>
        <v>0.90669462617934415</v>
      </c>
    </row>
    <row r="42" spans="2:23" x14ac:dyDescent="0.25">
      <c r="B42" s="32"/>
      <c r="C42" s="33" t="s">
        <v>51</v>
      </c>
      <c r="D42" s="34">
        <v>106</v>
      </c>
      <c r="E42" s="35">
        <f>17.42+23.27</f>
        <v>40.69</v>
      </c>
      <c r="F42" s="27">
        <f t="shared" si="3"/>
        <v>2.2345233584298473E-2</v>
      </c>
      <c r="G42" s="47">
        <f>SUM(E43:E$46)/$E$47</f>
        <v>9.8540887548943676E-2</v>
      </c>
      <c r="J42" s="48">
        <f>SUM($F$21:F28)</f>
        <v>0.74925212931951213</v>
      </c>
      <c r="K42" s="48">
        <f t="shared" si="8"/>
        <v>0.25074787068048787</v>
      </c>
      <c r="L42" s="48">
        <f>SUM($F$35:F42)</f>
        <v>0.90145911245105625</v>
      </c>
      <c r="M42" s="48">
        <v>1</v>
      </c>
      <c r="N42" s="20">
        <f t="shared" si="9"/>
        <v>0.16884513232962414</v>
      </c>
      <c r="O42" s="49">
        <f t="shared" si="5"/>
        <v>0.83115486767037583</v>
      </c>
      <c r="P42" s="20">
        <f t="shared" si="6"/>
        <v>0.67336616606715993</v>
      </c>
      <c r="Q42" s="20">
        <f t="shared" si="7"/>
        <v>1</v>
      </c>
      <c r="R42" s="50">
        <f t="shared" si="4"/>
        <v>0.9180972616491363</v>
      </c>
    </row>
    <row r="43" spans="2:23" x14ac:dyDescent="0.25">
      <c r="B43" s="32"/>
      <c r="C43" s="33" t="s">
        <v>52</v>
      </c>
      <c r="D43" s="34">
        <v>75</v>
      </c>
      <c r="E43" s="35">
        <f>11.28+15.81</f>
        <v>27.09</v>
      </c>
      <c r="F43" s="27">
        <f t="shared" si="3"/>
        <v>1.4876686601097215E-2</v>
      </c>
      <c r="G43" s="47">
        <f>SUM(E44:E$46)/$E$47</f>
        <v>8.3664200947846476E-2</v>
      </c>
      <c r="J43" s="48">
        <f>SUM($F$21:F29)</f>
        <v>0.79407467774475982</v>
      </c>
      <c r="K43" s="48">
        <f t="shared" si="8"/>
        <v>0.20592532225524018</v>
      </c>
      <c r="L43" s="48">
        <f>SUM($F$35:F43)</f>
        <v>0.91633579905215345</v>
      </c>
      <c r="M43" s="48">
        <v>1</v>
      </c>
      <c r="N43" s="20">
        <f t="shared" si="9"/>
        <v>0.13342392759713093</v>
      </c>
      <c r="O43" s="49">
        <f t="shared" si="5"/>
        <v>0.86657607240286905</v>
      </c>
      <c r="P43" s="20">
        <f t="shared" si="6"/>
        <v>0.64792384994670404</v>
      </c>
      <c r="Q43" s="20">
        <f t="shared" si="7"/>
        <v>1</v>
      </c>
      <c r="R43" s="50">
        <f t="shared" si="4"/>
        <v>0.92749860534189077</v>
      </c>
    </row>
    <row r="44" spans="2:23" x14ac:dyDescent="0.25">
      <c r="B44" s="32"/>
      <c r="C44" s="33" t="s">
        <v>53</v>
      </c>
      <c r="D44" s="34">
        <v>53</v>
      </c>
      <c r="E44" s="35">
        <f>9+13.88</f>
        <v>22.880000000000003</v>
      </c>
      <c r="F44" s="27">
        <f t="shared" si="3"/>
        <v>1.2564731983503297E-2</v>
      </c>
      <c r="G44" s="47">
        <f>SUM(E45:E$46)/$E$47</f>
        <v>7.1099468964343188E-2</v>
      </c>
      <c r="J44" s="48">
        <f>SUM($F$21:F30)</f>
        <v>0.83794313201284043</v>
      </c>
      <c r="K44" s="48">
        <f t="shared" si="8"/>
        <v>0.16205686798715957</v>
      </c>
      <c r="L44" s="48">
        <f>SUM($F$35:F44)</f>
        <v>0.92890053103565673</v>
      </c>
      <c r="M44" s="48">
        <v>1</v>
      </c>
      <c r="N44" s="20">
        <f t="shared" si="9"/>
        <v>9.7919417616658469E-2</v>
      </c>
      <c r="O44" s="49">
        <f t="shared" si="5"/>
        <v>0.90208058238334154</v>
      </c>
      <c r="P44" s="20">
        <f t="shared" si="6"/>
        <v>0.60422874286585015</v>
      </c>
      <c r="Q44" s="20">
        <f t="shared" si="7"/>
        <v>1</v>
      </c>
      <c r="R44" s="50">
        <f t="shared" si="4"/>
        <v>0.93586254962949889</v>
      </c>
    </row>
    <row r="45" spans="2:23" x14ac:dyDescent="0.25">
      <c r="B45" s="32"/>
      <c r="C45" s="33" t="s">
        <v>54</v>
      </c>
      <c r="D45" s="34">
        <v>38</v>
      </c>
      <c r="E45" s="35">
        <f>8.74+9.82</f>
        <v>18.560000000000002</v>
      </c>
      <c r="F45" s="27">
        <f t="shared" si="3"/>
        <v>1.0192370000604073E-2</v>
      </c>
      <c r="G45" s="47">
        <f>SUM(E46:E$46)/$E$47</f>
        <v>6.0907098963739102E-2</v>
      </c>
      <c r="J45" s="48">
        <f>SUM($F$21:F31)</f>
        <v>0.86697343444081132</v>
      </c>
      <c r="K45" s="48">
        <f t="shared" si="8"/>
        <v>0.13302656555918868</v>
      </c>
      <c r="L45" s="48">
        <f>SUM($F$35:F45)</f>
        <v>0.93909290103626075</v>
      </c>
      <c r="M45" s="48">
        <v>1</v>
      </c>
      <c r="N45" s="20">
        <f>+(L45-J45)/(L45+M45-1)</f>
        <v>7.6796945771677935E-2</v>
      </c>
      <c r="O45" s="49">
        <f t="shared" si="5"/>
        <v>0.92320305422832205</v>
      </c>
      <c r="P45" s="20">
        <f>+N45*M45/K45</f>
        <v>0.57730533332838696</v>
      </c>
      <c r="Q45" s="20">
        <f>+O45*L45/J45</f>
        <v>1</v>
      </c>
      <c r="R45" s="50">
        <f t="shared" si="4"/>
        <v>0.94377038021248927</v>
      </c>
      <c r="T45" s="48">
        <f>SUM($F$21:$F$31)</f>
        <v>0.86697343444081132</v>
      </c>
      <c r="U45" s="48">
        <f>SUM(F35:F45)</f>
        <v>0.93909290103626075</v>
      </c>
      <c r="V45" s="20">
        <v>0.7</v>
      </c>
      <c r="W45" s="20">
        <f>U45*(T45-V45)*(1-V45)*(U45-T45)/T45/(U45-V45)^2/(1-T45)</f>
        <v>0.51457912765735148</v>
      </c>
    </row>
    <row r="46" spans="2:23" x14ac:dyDescent="0.25">
      <c r="B46" s="37"/>
      <c r="C46" s="38">
        <v>-38</v>
      </c>
      <c r="D46" s="39"/>
      <c r="E46" s="40">
        <f>107.12+3.79</f>
        <v>110.91000000000001</v>
      </c>
      <c r="F46" s="54">
        <f>E46/$E$47</f>
        <v>6.0907098963739102E-2</v>
      </c>
      <c r="G46" s="41"/>
    </row>
    <row r="47" spans="2:23" ht="15.75" thickBot="1" x14ac:dyDescent="0.3">
      <c r="B47" s="42"/>
      <c r="C47" s="43" t="s">
        <v>55</v>
      </c>
      <c r="D47" s="44"/>
      <c r="E47" s="45">
        <f>SUM(E35:E46)</f>
        <v>1820.9700000000003</v>
      </c>
      <c r="F47" s="55">
        <f t="shared" si="3"/>
        <v>1</v>
      </c>
      <c r="G47" s="45"/>
    </row>
    <row r="48" spans="2:23" ht="30.75" thickBot="1" x14ac:dyDescent="0.3">
      <c r="B48" s="21" t="s">
        <v>23</v>
      </c>
      <c r="C48" s="173" t="s">
        <v>24</v>
      </c>
      <c r="D48" s="174"/>
      <c r="E48" s="22" t="s">
        <v>25</v>
      </c>
      <c r="F48" s="23" t="s">
        <v>26</v>
      </c>
      <c r="G48" s="22" t="s">
        <v>27</v>
      </c>
    </row>
    <row r="49" spans="2:23" ht="38.25" thickTop="1" x14ac:dyDescent="0.25">
      <c r="B49" s="10" t="s">
        <v>7</v>
      </c>
      <c r="C49" s="24" t="s">
        <v>43</v>
      </c>
      <c r="D49" s="81">
        <v>1180</v>
      </c>
      <c r="E49" s="26">
        <f>95.39+81.07</f>
        <v>176.45999999999998</v>
      </c>
      <c r="F49" s="27">
        <f>E49/$E$61</f>
        <v>8.9164443366480703E-2</v>
      </c>
      <c r="G49" s="28">
        <f>SUM(E50:E$60)/$E$61</f>
        <v>0.91083555663351934</v>
      </c>
    </row>
    <row r="50" spans="2:23" x14ac:dyDescent="0.25">
      <c r="B50" s="29" t="s">
        <v>44</v>
      </c>
      <c r="C50" s="25" t="s">
        <v>45</v>
      </c>
      <c r="D50" s="81">
        <v>600</v>
      </c>
      <c r="E50" s="26">
        <f>177.28+160.9</f>
        <v>338.18</v>
      </c>
      <c r="F50" s="27">
        <f t="shared" ref="F50:F61" si="10">E50/$E$61</f>
        <v>0.17088083111003316</v>
      </c>
      <c r="G50" s="28">
        <f>SUM(E51:E$60)/$E$61</f>
        <v>0.73995472552348618</v>
      </c>
    </row>
    <row r="51" spans="2:23" x14ac:dyDescent="0.25">
      <c r="B51" s="31">
        <f>FORECAST(0.8,D49:D50,G49:G50)</f>
        <v>803.80436453959419</v>
      </c>
      <c r="C51" s="25" t="s">
        <v>46</v>
      </c>
      <c r="D51" s="81">
        <v>425</v>
      </c>
      <c r="E51" s="26">
        <f>200.65+183.31</f>
        <v>383.96000000000004</v>
      </c>
      <c r="F51" s="27">
        <f t="shared" si="10"/>
        <v>0.19401325895383623</v>
      </c>
      <c r="G51" s="28">
        <f>SUM(E52:E$60)/$E$61</f>
        <v>0.54594146656964992</v>
      </c>
    </row>
    <row r="52" spans="2:23" x14ac:dyDescent="0.25">
      <c r="B52" s="32"/>
      <c r="C52" s="25" t="s">
        <v>47</v>
      </c>
      <c r="D52" s="81">
        <v>300</v>
      </c>
      <c r="E52" s="26">
        <f>260.06+241.21</f>
        <v>501.27</v>
      </c>
      <c r="F52" s="27">
        <f t="shared" si="10"/>
        <v>0.25328947368421051</v>
      </c>
      <c r="G52" s="28">
        <f>SUM(E53:E$60)/$E$61</f>
        <v>0.29265199288543947</v>
      </c>
      <c r="H52" s="30"/>
      <c r="J52" s="48">
        <f>J38</f>
        <v>0.46097655512378377</v>
      </c>
      <c r="K52" s="48">
        <f>1-J52</f>
        <v>0.53902344487621623</v>
      </c>
      <c r="L52" s="48">
        <f>SUM($F$49:F52)</f>
        <v>0.70734800711456058</v>
      </c>
      <c r="M52" s="48">
        <v>1</v>
      </c>
      <c r="N52" s="20">
        <f>+(L52-J52)/(L52+M52-1)</f>
        <v>0.34830302695809395</v>
      </c>
      <c r="O52" s="49">
        <f>1-N52</f>
        <v>0.65169697304190599</v>
      </c>
      <c r="P52" s="20">
        <f>+N52*M52/K52</f>
        <v>0.64617416973037201</v>
      </c>
      <c r="Q52" s="20">
        <f>+O52*L52/J52</f>
        <v>0.99999999999999989</v>
      </c>
      <c r="R52" s="50">
        <f>+N52*M52+O52*L52</f>
        <v>0.80927958208187767</v>
      </c>
    </row>
    <row r="53" spans="2:23" x14ac:dyDescent="0.25">
      <c r="B53" s="32"/>
      <c r="C53" s="33" t="s">
        <v>48</v>
      </c>
      <c r="D53" s="82">
        <v>212</v>
      </c>
      <c r="E53" s="35">
        <f>136.9+138.33</f>
        <v>275.23</v>
      </c>
      <c r="F53" s="27">
        <f t="shared" si="10"/>
        <v>0.13907247958606195</v>
      </c>
      <c r="G53" s="28">
        <f>SUM(E54:E$60)/$E$61</f>
        <v>0.15357951329937747</v>
      </c>
      <c r="H53" s="36">
        <f>SUM(F54:F60)*100</f>
        <v>15.35795132993775</v>
      </c>
      <c r="I53" s="30">
        <f>($I$194-H53)/($I$194*(100-H53))*10000</f>
        <v>73.088064728112457</v>
      </c>
      <c r="J53" s="48">
        <f>J39</f>
        <v>0.59729275782903823</v>
      </c>
      <c r="K53" s="48">
        <f>1-J53</f>
        <v>0.40270724217096177</v>
      </c>
      <c r="L53" s="48">
        <f>SUM($F$49:F53)</f>
        <v>0.84642048670062253</v>
      </c>
      <c r="M53" s="53">
        <v>0.87239999999999995</v>
      </c>
      <c r="N53" s="20">
        <f>+(L53-J53)/(L53+M53-1)</f>
        <v>0.34657850392533696</v>
      </c>
      <c r="O53" s="49">
        <f t="shared" ref="O53:O59" si="11">1-N53</f>
        <v>0.65342149607466304</v>
      </c>
      <c r="P53" s="20">
        <f>+N53*M53/K53</f>
        <v>0.75080618166808333</v>
      </c>
      <c r="Q53" s="20">
        <f t="shared" ref="Q53:Q59" si="12">+O53*L53/J53</f>
        <v>0.9259602321956647</v>
      </c>
      <c r="R53" s="50">
        <f t="shared" ref="R53:R59" si="13">+N53*M53+O53*L53</f>
        <v>0.85542442755262904</v>
      </c>
    </row>
    <row r="54" spans="2:23" x14ac:dyDescent="0.25">
      <c r="B54" s="32"/>
      <c r="C54" s="33" t="s">
        <v>49</v>
      </c>
      <c r="D54" s="82">
        <v>180</v>
      </c>
      <c r="E54" s="35">
        <f>19.92+25.04</f>
        <v>44.96</v>
      </c>
      <c r="F54" s="27">
        <f t="shared" si="10"/>
        <v>2.2718085536421701E-2</v>
      </c>
      <c r="G54" s="28">
        <f>SUM(E55:E$60)/$E$61</f>
        <v>0.13086142776295576</v>
      </c>
      <c r="J54" s="48">
        <f t="shared" ref="J54:J59" si="14">J40</f>
        <v>0.63167990141027042</v>
      </c>
      <c r="K54" s="48">
        <f t="shared" ref="K54:K59" si="15">1-J54</f>
        <v>0.36832009858972958</v>
      </c>
      <c r="L54" s="48">
        <f>SUM($F$49:F54)</f>
        <v>0.86913857223704427</v>
      </c>
      <c r="M54" s="48">
        <v>1</v>
      </c>
      <c r="N54" s="20">
        <f t="shared" ref="N54:N59" si="16">+(L54-J54)/(L54+M54-1)</f>
        <v>0.27321152047778474</v>
      </c>
      <c r="O54" s="49">
        <f t="shared" si="11"/>
        <v>0.72678847952221526</v>
      </c>
      <c r="P54" s="20">
        <f t="shared" ref="P54:P59" si="17">+N54*M54/K54</f>
        <v>0.74177738745154409</v>
      </c>
      <c r="Q54" s="20">
        <f t="shared" si="12"/>
        <v>1</v>
      </c>
      <c r="R54" s="50">
        <f t="shared" si="13"/>
        <v>0.90489142188805516</v>
      </c>
    </row>
    <row r="55" spans="2:23" x14ac:dyDescent="0.25">
      <c r="B55" s="32"/>
      <c r="C55" s="33" t="s">
        <v>50</v>
      </c>
      <c r="D55" s="82">
        <v>150</v>
      </c>
      <c r="E55" s="35">
        <f>23.83+24.08</f>
        <v>47.91</v>
      </c>
      <c r="F55" s="27">
        <f t="shared" si="10"/>
        <v>2.4208707252000968E-2</v>
      </c>
      <c r="G55" s="28">
        <f>SUM(E56:E$60)/$E$61</f>
        <v>0.1066527205109548</v>
      </c>
      <c r="J55" s="48">
        <f t="shared" si="14"/>
        <v>0.67853983840030208</v>
      </c>
      <c r="K55" s="48">
        <f t="shared" si="15"/>
        <v>0.32146016159969792</v>
      </c>
      <c r="L55" s="48">
        <f>SUM($F$49:F55)</f>
        <v>0.89334727948904524</v>
      </c>
      <c r="M55" s="48">
        <v>1</v>
      </c>
      <c r="N55" s="20">
        <f t="shared" si="16"/>
        <v>0.24045233698098176</v>
      </c>
      <c r="O55" s="49">
        <f t="shared" si="11"/>
        <v>0.75954766301901822</v>
      </c>
      <c r="P55" s="20">
        <f t="shared" si="17"/>
        <v>0.74800042339432371</v>
      </c>
      <c r="Q55" s="20">
        <f t="shared" si="12"/>
        <v>0.99999999999999989</v>
      </c>
      <c r="R55" s="50">
        <f t="shared" si="13"/>
        <v>0.91899217538128375</v>
      </c>
    </row>
    <row r="56" spans="2:23" x14ac:dyDescent="0.25">
      <c r="B56" s="32"/>
      <c r="C56" s="33" t="s">
        <v>51</v>
      </c>
      <c r="D56" s="82">
        <v>106</v>
      </c>
      <c r="E56" s="35">
        <f>24.62+30.76</f>
        <v>55.38</v>
      </c>
      <c r="F56" s="27">
        <f t="shared" si="10"/>
        <v>2.7983264613145771E-2</v>
      </c>
      <c r="G56" s="28">
        <f>SUM(E57:E$60)/$E$61</f>
        <v>7.8669455897809035E-2</v>
      </c>
      <c r="J56" s="48">
        <f t="shared" si="14"/>
        <v>0.74925212931951213</v>
      </c>
      <c r="K56" s="48">
        <f t="shared" si="15"/>
        <v>0.25074787068048787</v>
      </c>
      <c r="L56" s="48">
        <f>SUM($F$49:F56)</f>
        <v>0.92133054410219106</v>
      </c>
      <c r="M56" s="48">
        <v>1</v>
      </c>
      <c r="N56" s="20">
        <f t="shared" si="16"/>
        <v>0.18677163791455995</v>
      </c>
      <c r="O56" s="49">
        <f t="shared" si="11"/>
        <v>0.81322836208544003</v>
      </c>
      <c r="P56" s="20">
        <f t="shared" si="17"/>
        <v>0.74485832086108206</v>
      </c>
      <c r="Q56" s="20">
        <f t="shared" si="12"/>
        <v>1</v>
      </c>
      <c r="R56" s="50">
        <f t="shared" si="13"/>
        <v>0.9360237672340721</v>
      </c>
    </row>
    <row r="57" spans="2:23" x14ac:dyDescent="0.25">
      <c r="B57" s="32"/>
      <c r="C57" s="33" t="s">
        <v>52</v>
      </c>
      <c r="D57" s="82">
        <v>75</v>
      </c>
      <c r="E57" s="35">
        <f>13.65+20.86</f>
        <v>34.51</v>
      </c>
      <c r="F57" s="27">
        <f t="shared" si="10"/>
        <v>1.7437747594793433E-2</v>
      </c>
      <c r="G57" s="28">
        <f>SUM(E58:E$60)/$E$61</f>
        <v>6.1231708303015608E-2</v>
      </c>
      <c r="J57" s="48">
        <f t="shared" si="14"/>
        <v>0.79407467774475982</v>
      </c>
      <c r="K57" s="48">
        <f t="shared" si="15"/>
        <v>0.20592532225524018</v>
      </c>
      <c r="L57" s="48">
        <f>SUM($F$49:F57)</f>
        <v>0.9387682916969845</v>
      </c>
      <c r="M57" s="48">
        <v>1</v>
      </c>
      <c r="N57" s="20">
        <f t="shared" si="16"/>
        <v>0.15413133915150268</v>
      </c>
      <c r="O57" s="49">
        <f t="shared" si="11"/>
        <v>0.84586866084849732</v>
      </c>
      <c r="P57" s="20">
        <f t="shared" si="17"/>
        <v>0.74848171882649805</v>
      </c>
      <c r="Q57" s="20">
        <f t="shared" si="12"/>
        <v>1</v>
      </c>
      <c r="R57" s="50">
        <f t="shared" si="13"/>
        <v>0.94820601689626249</v>
      </c>
    </row>
    <row r="58" spans="2:23" x14ac:dyDescent="0.25">
      <c r="B58" s="32"/>
      <c r="C58" s="33" t="s">
        <v>53</v>
      </c>
      <c r="D58" s="82">
        <v>53</v>
      </c>
      <c r="E58" s="35">
        <f>10.57+19.42</f>
        <v>29.990000000000002</v>
      </c>
      <c r="F58" s="27">
        <f t="shared" si="10"/>
        <v>1.5153811949227909E-2</v>
      </c>
      <c r="G58" s="28">
        <f>SUM(E59:E$60)/$E$61</f>
        <v>4.6077896353787694E-2</v>
      </c>
      <c r="J58" s="48">
        <f t="shared" si="14"/>
        <v>0.83794313201284043</v>
      </c>
      <c r="K58" s="48">
        <f t="shared" si="15"/>
        <v>0.16205686798715957</v>
      </c>
      <c r="L58" s="48">
        <f>SUM($F$49:F58)</f>
        <v>0.95392210364621244</v>
      </c>
      <c r="M58" s="48">
        <v>1</v>
      </c>
      <c r="N58" s="20">
        <f t="shared" si="16"/>
        <v>0.12158117648187541</v>
      </c>
      <c r="O58" s="49">
        <f t="shared" si="11"/>
        <v>0.87841882351812461</v>
      </c>
      <c r="P58" s="20">
        <f t="shared" si="17"/>
        <v>0.75023772822456858</v>
      </c>
      <c r="Q58" s="20">
        <f t="shared" si="12"/>
        <v>1</v>
      </c>
      <c r="R58" s="50">
        <f t="shared" si="13"/>
        <v>0.95952430849471582</v>
      </c>
    </row>
    <row r="59" spans="2:23" x14ac:dyDescent="0.25">
      <c r="B59" s="32"/>
      <c r="C59" s="33" t="s">
        <v>54</v>
      </c>
      <c r="D59" s="82">
        <v>38</v>
      </c>
      <c r="E59" s="35">
        <f>6.78+11.08</f>
        <v>17.86</v>
      </c>
      <c r="F59" s="27">
        <f t="shared" si="10"/>
        <v>9.0245775729646694E-3</v>
      </c>
      <c r="G59" s="28">
        <f>SUM(E60:E$60)/$E$61</f>
        <v>3.7053318780823026E-2</v>
      </c>
      <c r="J59" s="48">
        <f t="shared" si="14"/>
        <v>0.86697343444081132</v>
      </c>
      <c r="K59" s="48">
        <f t="shared" si="15"/>
        <v>0.13302656555918868</v>
      </c>
      <c r="L59" s="48">
        <f>SUM($F$49:F59)</f>
        <v>0.96294668121917715</v>
      </c>
      <c r="M59" s="48">
        <v>1</v>
      </c>
      <c r="N59" s="20">
        <f t="shared" si="16"/>
        <v>9.9666210653382242E-2</v>
      </c>
      <c r="O59" s="49">
        <f t="shared" si="11"/>
        <v>0.90033378934661779</v>
      </c>
      <c r="P59" s="20">
        <f t="shared" si="17"/>
        <v>0.74922035485488703</v>
      </c>
      <c r="Q59" s="20">
        <f t="shared" si="12"/>
        <v>1</v>
      </c>
      <c r="R59" s="50">
        <f t="shared" si="13"/>
        <v>0.96663964509419353</v>
      </c>
      <c r="T59" s="48">
        <f>SUM($F$21:$F$31)</f>
        <v>0.86697343444081132</v>
      </c>
      <c r="U59" s="48">
        <f>SUM(F49:F59)</f>
        <v>0.96294668121917715</v>
      </c>
      <c r="V59" s="20">
        <v>0.7</v>
      </c>
      <c r="W59" s="20">
        <f>U59*(T59-V59)*(1-V59)*(U59-T59)/T59/(U59-V59)^2/(1-T59)</f>
        <v>0.5805525092393784</v>
      </c>
    </row>
    <row r="60" spans="2:23" x14ac:dyDescent="0.25">
      <c r="B60" s="37"/>
      <c r="C60" s="38">
        <v>-38</v>
      </c>
      <c r="D60" s="39"/>
      <c r="E60" s="40">
        <f>69.73+3.6</f>
        <v>73.33</v>
      </c>
      <c r="F60" s="27">
        <f>E60/$E$61</f>
        <v>3.7053318780823026E-2</v>
      </c>
      <c r="G60" s="41"/>
    </row>
    <row r="61" spans="2:23" ht="15.75" thickBot="1" x14ac:dyDescent="0.3">
      <c r="B61" s="42"/>
      <c r="C61" s="43" t="s">
        <v>55</v>
      </c>
      <c r="D61" s="44"/>
      <c r="E61" s="45">
        <f>SUM(E49:E60)</f>
        <v>1979.04</v>
      </c>
      <c r="F61" s="27">
        <f t="shared" si="10"/>
        <v>1</v>
      </c>
      <c r="G61" s="45"/>
    </row>
    <row r="62" spans="2:23" ht="30.75" thickBot="1" x14ac:dyDescent="0.3">
      <c r="B62" s="21" t="s">
        <v>23</v>
      </c>
      <c r="C62" s="173" t="s">
        <v>24</v>
      </c>
      <c r="D62" s="174"/>
      <c r="E62" s="22" t="s">
        <v>25</v>
      </c>
      <c r="F62" s="23" t="s">
        <v>26</v>
      </c>
      <c r="G62" s="22" t="s">
        <v>27</v>
      </c>
    </row>
    <row r="63" spans="2:23" ht="38.25" thickTop="1" x14ac:dyDescent="0.25">
      <c r="B63" s="10" t="s">
        <v>8</v>
      </c>
      <c r="C63" s="24" t="s">
        <v>43</v>
      </c>
      <c r="D63" s="25">
        <v>1180</v>
      </c>
      <c r="E63" s="26">
        <f>113.58+134.28</f>
        <v>247.86</v>
      </c>
      <c r="F63" s="27">
        <f>E63/$E$75</f>
        <v>0.1245302357362487</v>
      </c>
      <c r="G63" s="47">
        <f>SUM(E64:E$74)/$E$75</f>
        <v>0.87546976426375123</v>
      </c>
    </row>
    <row r="64" spans="2:23" x14ac:dyDescent="0.25">
      <c r="B64" s="29" t="s">
        <v>44</v>
      </c>
      <c r="C64" s="25" t="s">
        <v>45</v>
      </c>
      <c r="D64" s="25">
        <v>600</v>
      </c>
      <c r="E64" s="26">
        <f>172.82+209.43</f>
        <v>382.25</v>
      </c>
      <c r="F64" s="27">
        <f t="shared" ref="F64:F75" si="18">E64/$E$75</f>
        <v>0.19205068429831787</v>
      </c>
      <c r="G64" s="47">
        <f>SUM(E65:E$74)/$E$75</f>
        <v>0.68341907996543338</v>
      </c>
    </row>
    <row r="65" spans="2:23" x14ac:dyDescent="0.25">
      <c r="B65" s="31">
        <f>FORECAST(0.8,D63:D64,G63:G64)</f>
        <v>952.07858731196848</v>
      </c>
      <c r="C65" s="25" t="s">
        <v>46</v>
      </c>
      <c r="D65" s="25">
        <v>425</v>
      </c>
      <c r="E65" s="26">
        <f>171.04+210.29</f>
        <v>381.33</v>
      </c>
      <c r="F65" s="27">
        <f t="shared" si="18"/>
        <v>0.19158845635965349</v>
      </c>
      <c r="G65" s="47">
        <f>SUM(E66:E$74)/$E$75</f>
        <v>0.49183062360577967</v>
      </c>
    </row>
    <row r="66" spans="2:23" x14ac:dyDescent="0.25">
      <c r="B66" s="32"/>
      <c r="C66" s="25" t="s">
        <v>47</v>
      </c>
      <c r="D66" s="25">
        <v>300</v>
      </c>
      <c r="E66" s="26">
        <f>212.29+251.75</f>
        <v>464.03999999999996</v>
      </c>
      <c r="F66" s="27">
        <f t="shared" si="18"/>
        <v>0.23314375288892455</v>
      </c>
      <c r="G66" s="47">
        <f>SUM(E67:E$74)/$E$75</f>
        <v>0.2586868707168552</v>
      </c>
      <c r="H66" s="30"/>
      <c r="J66" s="48">
        <f>J52</f>
        <v>0.46097655512378377</v>
      </c>
      <c r="K66" s="48">
        <f>1-J66</f>
        <v>0.53902344487621623</v>
      </c>
      <c r="L66" s="48">
        <f>SUM($F$63:F66)</f>
        <v>0.74131312928314463</v>
      </c>
      <c r="M66" s="48">
        <v>1</v>
      </c>
      <c r="N66" s="20">
        <f>+(L66-J66)/(L66+M66-1)</f>
        <v>0.37816215993698704</v>
      </c>
      <c r="O66" s="49">
        <f>1-N66</f>
        <v>0.6218378400630129</v>
      </c>
      <c r="P66" s="20">
        <f>+N66*M66/K66</f>
        <v>0.70156903847443941</v>
      </c>
      <c r="Q66" s="20">
        <f>+O66*L66/J66</f>
        <v>0.99999999999999989</v>
      </c>
      <c r="R66" s="50">
        <f>+N66*M66+O66*L66</f>
        <v>0.83913871506077076</v>
      </c>
    </row>
    <row r="67" spans="2:23" x14ac:dyDescent="0.25">
      <c r="B67" s="32"/>
      <c r="C67" s="33" t="s">
        <v>48</v>
      </c>
      <c r="D67" s="34">
        <v>212</v>
      </c>
      <c r="E67" s="35">
        <f>104.07+118.13</f>
        <v>222.2</v>
      </c>
      <c r="F67" s="27">
        <f t="shared" si="18"/>
        <v>0.11163809562089268</v>
      </c>
      <c r="G67" s="47">
        <f>SUM(E68:E$74)/$E$75</f>
        <v>0.14704877509596251</v>
      </c>
      <c r="H67" s="36">
        <f>SUM(F68:F74)*100</f>
        <v>14.704877509596251</v>
      </c>
      <c r="I67" s="30">
        <f>($I$194-H67)/($I$194*(100-H67))*10000</f>
        <v>74.429747119499652</v>
      </c>
      <c r="J67" s="48">
        <f t="shared" ref="J67:J73" si="19">J53</f>
        <v>0.59729275782903823</v>
      </c>
      <c r="K67" s="48">
        <f t="shared" ref="K67:K73" si="20">1-J67</f>
        <v>0.40270724217096177</v>
      </c>
      <c r="L67" s="48">
        <f>SUM($F$63:F67)</f>
        <v>0.8529512249040373</v>
      </c>
      <c r="M67" s="53">
        <v>0.87239999999999995</v>
      </c>
      <c r="N67" s="20">
        <f t="shared" ref="N67:N73" si="21">+(L67-J67)/(L67+M67-1)</f>
        <v>0.35246161900232847</v>
      </c>
      <c r="O67" s="49">
        <f t="shared" ref="O67:O73" si="22">1-N67</f>
        <v>0.64753838099767158</v>
      </c>
      <c r="P67" s="20">
        <f t="shared" ref="P67:P73" si="23">+N67*M67/K67</f>
        <v>0.76355099739451249</v>
      </c>
      <c r="Q67" s="20">
        <f t="shared" ref="Q67:Q73" si="24">+O67*L67/J67</f>
        <v>0.92470341889266661</v>
      </c>
      <c r="R67" s="50">
        <f t="shared" ref="R67:R73" si="25">+N67*M67+O67*L67</f>
        <v>0.85980617166197248</v>
      </c>
    </row>
    <row r="68" spans="2:23" x14ac:dyDescent="0.25">
      <c r="B68" s="32"/>
      <c r="C68" s="33" t="s">
        <v>49</v>
      </c>
      <c r="D68" s="34">
        <v>180</v>
      </c>
      <c r="E68" s="35">
        <f>15.12+17.67</f>
        <v>32.79</v>
      </c>
      <c r="F68" s="27">
        <f t="shared" si="18"/>
        <v>1.647440664000482E-2</v>
      </c>
      <c r="G68" s="47">
        <f>SUM(E69:E$74)/$E$75</f>
        <v>0.13057436845595768</v>
      </c>
      <c r="J68" s="48">
        <f t="shared" si="19"/>
        <v>0.63167990141027042</v>
      </c>
      <c r="K68" s="48">
        <f t="shared" si="20"/>
        <v>0.36832009858972958</v>
      </c>
      <c r="L68" s="48">
        <f>SUM($F$63:F68)</f>
        <v>0.86942563154404207</v>
      </c>
      <c r="M68" s="48">
        <v>1</v>
      </c>
      <c r="N68" s="20">
        <f t="shared" si="21"/>
        <v>0.27345148510465589</v>
      </c>
      <c r="O68" s="49">
        <f t="shared" si="22"/>
        <v>0.72654851489534411</v>
      </c>
      <c r="P68" s="20">
        <f t="shared" si="23"/>
        <v>0.74242889853603267</v>
      </c>
      <c r="Q68" s="20">
        <f t="shared" si="24"/>
        <v>1</v>
      </c>
      <c r="R68" s="50">
        <f t="shared" si="25"/>
        <v>0.90513138651492631</v>
      </c>
    </row>
    <row r="69" spans="2:23" x14ac:dyDescent="0.25">
      <c r="B69" s="32"/>
      <c r="C69" s="33" t="s">
        <v>50</v>
      </c>
      <c r="D69" s="34">
        <v>150</v>
      </c>
      <c r="E69" s="35">
        <f>17.52+21.73</f>
        <v>39.25</v>
      </c>
      <c r="F69" s="27">
        <f t="shared" si="18"/>
        <v>1.9720050644104582E-2</v>
      </c>
      <c r="G69" s="47">
        <f>SUM(E70:E$74)/$E$75</f>
        <v>0.11085431781185311</v>
      </c>
      <c r="J69" s="48">
        <f t="shared" si="19"/>
        <v>0.67853983840030208</v>
      </c>
      <c r="K69" s="48">
        <f t="shared" si="20"/>
        <v>0.32146016159969792</v>
      </c>
      <c r="L69" s="48">
        <f>SUM($F$63:F69)</f>
        <v>0.8891456821881466</v>
      </c>
      <c r="M69" s="48">
        <v>1</v>
      </c>
      <c r="N69" s="20">
        <f t="shared" si="21"/>
        <v>0.23686314628391747</v>
      </c>
      <c r="O69" s="49">
        <f t="shared" si="22"/>
        <v>0.76313685371608253</v>
      </c>
      <c r="P69" s="20">
        <f t="shared" si="23"/>
        <v>0.73683514966583674</v>
      </c>
      <c r="Q69" s="20">
        <f t="shared" si="24"/>
        <v>1</v>
      </c>
      <c r="R69" s="50">
        <f t="shared" si="25"/>
        <v>0.91540298468421955</v>
      </c>
    </row>
    <row r="70" spans="2:23" x14ac:dyDescent="0.25">
      <c r="B70" s="32"/>
      <c r="C70" s="33" t="s">
        <v>51</v>
      </c>
      <c r="D70" s="34">
        <v>106</v>
      </c>
      <c r="E70" s="35">
        <f>20.6+23.8</f>
        <v>44.400000000000006</v>
      </c>
      <c r="F70" s="27">
        <f t="shared" si="18"/>
        <v>2.2307522257280089E-2</v>
      </c>
      <c r="G70" s="47">
        <f>SUM(E71:E$74)/$E$75</f>
        <v>8.8546795554573024E-2</v>
      </c>
      <c r="J70" s="48">
        <f t="shared" si="19"/>
        <v>0.74925212931951213</v>
      </c>
      <c r="K70" s="48">
        <f t="shared" si="20"/>
        <v>0.25074787068048787</v>
      </c>
      <c r="L70" s="48">
        <f>SUM($F$63:F70)</f>
        <v>0.91145320444542666</v>
      </c>
      <c r="M70" s="48">
        <v>1</v>
      </c>
      <c r="N70" s="20">
        <f t="shared" si="21"/>
        <v>0.17795875239103001</v>
      </c>
      <c r="O70" s="49">
        <f t="shared" si="22"/>
        <v>0.82204124760897002</v>
      </c>
      <c r="P70" s="20">
        <f t="shared" si="23"/>
        <v>0.70971191862199934</v>
      </c>
      <c r="Q70" s="20">
        <f t="shared" si="24"/>
        <v>1</v>
      </c>
      <c r="R70" s="50">
        <f t="shared" si="25"/>
        <v>0.92721088171054211</v>
      </c>
    </row>
    <row r="71" spans="2:23" x14ac:dyDescent="0.25">
      <c r="B71" s="32"/>
      <c r="C71" s="33" t="s">
        <v>52</v>
      </c>
      <c r="D71" s="34">
        <v>75</v>
      </c>
      <c r="E71" s="35">
        <f>13.58+16.68</f>
        <v>30.259999999999998</v>
      </c>
      <c r="F71" s="27">
        <f t="shared" si="18"/>
        <v>1.5203279808677823E-2</v>
      </c>
      <c r="G71" s="47">
        <f>SUM(E72:E$74)/$E$75</f>
        <v>7.3343515745895191E-2</v>
      </c>
      <c r="J71" s="48">
        <f t="shared" si="19"/>
        <v>0.79407467774475982</v>
      </c>
      <c r="K71" s="48">
        <f t="shared" si="20"/>
        <v>0.20592532225524018</v>
      </c>
      <c r="L71" s="48">
        <f>SUM($F$63:F71)</f>
        <v>0.92665648425410452</v>
      </c>
      <c r="M71" s="48">
        <v>1</v>
      </c>
      <c r="N71" s="20">
        <f t="shared" si="21"/>
        <v>0.14307546406051866</v>
      </c>
      <c r="O71" s="49">
        <f t="shared" si="22"/>
        <v>0.85692453593948137</v>
      </c>
      <c r="P71" s="20">
        <f t="shared" si="23"/>
        <v>0.69479295937766983</v>
      </c>
      <c r="Q71" s="20">
        <f t="shared" si="24"/>
        <v>1</v>
      </c>
      <c r="R71" s="50">
        <f t="shared" si="25"/>
        <v>0.93715014180527845</v>
      </c>
    </row>
    <row r="72" spans="2:23" x14ac:dyDescent="0.25">
      <c r="B72" s="32"/>
      <c r="C72" s="33" t="s">
        <v>53</v>
      </c>
      <c r="D72" s="34">
        <v>53</v>
      </c>
      <c r="E72" s="35">
        <f>9.11+11.52</f>
        <v>20.63</v>
      </c>
      <c r="F72" s="27">
        <f t="shared" si="18"/>
        <v>1.0364959102875859E-2</v>
      </c>
      <c r="G72" s="47">
        <f>SUM(E73:E$74)/$E$75</f>
        <v>6.2978556643019337E-2</v>
      </c>
      <c r="J72" s="48">
        <f t="shared" si="19"/>
        <v>0.83794313201284043</v>
      </c>
      <c r="K72" s="48">
        <f t="shared" si="20"/>
        <v>0.16205686798715957</v>
      </c>
      <c r="L72" s="48">
        <f>SUM($F$63:F72)</f>
        <v>0.93702144335698034</v>
      </c>
      <c r="M72" s="48">
        <v>1</v>
      </c>
      <c r="N72" s="20">
        <f t="shared" si="21"/>
        <v>0.10573750691252186</v>
      </c>
      <c r="O72" s="49">
        <f t="shared" si="22"/>
        <v>0.89426249308747818</v>
      </c>
      <c r="P72" s="20">
        <f t="shared" si="23"/>
        <v>0.65247161830191536</v>
      </c>
      <c r="Q72" s="20">
        <f t="shared" si="24"/>
        <v>1</v>
      </c>
      <c r="R72" s="50">
        <f t="shared" si="25"/>
        <v>0.94368063892536225</v>
      </c>
    </row>
    <row r="73" spans="2:23" x14ac:dyDescent="0.25">
      <c r="B73" s="32"/>
      <c r="C73" s="33" t="s">
        <v>54</v>
      </c>
      <c r="D73" s="34">
        <v>38</v>
      </c>
      <c r="E73" s="35">
        <f>6.75+12.42</f>
        <v>19.170000000000002</v>
      </c>
      <c r="F73" s="27">
        <f t="shared" si="18"/>
        <v>9.6314234610824171E-3</v>
      </c>
      <c r="G73" s="47">
        <f>SUM(E74:E$74)/$E$75</f>
        <v>5.3347133181936922E-2</v>
      </c>
      <c r="J73" s="48">
        <f t="shared" si="19"/>
        <v>0.86697343444081132</v>
      </c>
      <c r="K73" s="48">
        <f t="shared" si="20"/>
        <v>0.13302656555918868</v>
      </c>
      <c r="L73" s="48">
        <f>SUM($F$63:F73)</f>
        <v>0.94665286681806271</v>
      </c>
      <c r="M73" s="48">
        <v>1</v>
      </c>
      <c r="N73" s="20">
        <f t="shared" si="21"/>
        <v>8.4169641449535676E-2</v>
      </c>
      <c r="O73" s="49">
        <f t="shared" si="22"/>
        <v>0.91583035855046435</v>
      </c>
      <c r="P73" s="20">
        <f t="shared" si="23"/>
        <v>0.63272806522307257</v>
      </c>
      <c r="Q73" s="20">
        <f t="shared" si="24"/>
        <v>1</v>
      </c>
      <c r="R73" s="50">
        <f t="shared" si="25"/>
        <v>0.95114307589034697</v>
      </c>
      <c r="T73" s="48">
        <f>SUM($F$21:$F$31)</f>
        <v>0.86697343444081132</v>
      </c>
      <c r="U73" s="48">
        <f>SUM(F63:F73)</f>
        <v>0.94665286681806271</v>
      </c>
      <c r="V73" s="20">
        <v>0.7</v>
      </c>
      <c r="W73" s="20">
        <f>U73*(T73-V73)*(1-V73)*(U73-T73)/T73/(U73-V73)^2/(1-T73)</f>
        <v>0.53850422725848202</v>
      </c>
    </row>
    <row r="74" spans="2:23" x14ac:dyDescent="0.25">
      <c r="B74" s="37"/>
      <c r="C74" s="38">
        <v>-38</v>
      </c>
      <c r="D74" s="39"/>
      <c r="E74" s="40">
        <f>2.83+103.35</f>
        <v>106.17999999999999</v>
      </c>
      <c r="F74" s="27">
        <f t="shared" si="18"/>
        <v>5.3347133181936922E-2</v>
      </c>
      <c r="G74" s="41"/>
    </row>
    <row r="75" spans="2:23" ht="15.75" thickBot="1" x14ac:dyDescent="0.3">
      <c r="B75" s="42"/>
      <c r="C75" s="43" t="s">
        <v>55</v>
      </c>
      <c r="D75" s="44"/>
      <c r="E75" s="45">
        <f>SUM(E63:E74)</f>
        <v>1990.3600000000004</v>
      </c>
      <c r="F75" s="56">
        <f t="shared" si="18"/>
        <v>1</v>
      </c>
      <c r="G75" s="45"/>
    </row>
    <row r="76" spans="2:23" ht="30.75" thickBot="1" x14ac:dyDescent="0.3">
      <c r="B76" s="21" t="s">
        <v>23</v>
      </c>
      <c r="C76" s="173" t="s">
        <v>24</v>
      </c>
      <c r="D76" s="174"/>
      <c r="E76" s="22" t="s">
        <v>25</v>
      </c>
      <c r="F76" s="23" t="s">
        <v>26</v>
      </c>
      <c r="G76" s="22" t="s">
        <v>27</v>
      </c>
    </row>
    <row r="77" spans="2:23" ht="38.25" thickTop="1" x14ac:dyDescent="0.25">
      <c r="B77" s="10" t="s">
        <v>9</v>
      </c>
      <c r="C77" s="24" t="s">
        <v>43</v>
      </c>
      <c r="D77" s="25">
        <v>1180</v>
      </c>
      <c r="E77" s="26">
        <f>158.92+113.32</f>
        <v>272.24</v>
      </c>
      <c r="F77" s="27">
        <f>E77/$E$89</f>
        <v>0.12160628936436325</v>
      </c>
      <c r="G77" s="28">
        <f>SUM(E78:E$88)/$E$89</f>
        <v>0.87839371063563698</v>
      </c>
    </row>
    <row r="78" spans="2:23" x14ac:dyDescent="0.25">
      <c r="B78" s="29" t="s">
        <v>44</v>
      </c>
      <c r="C78" s="25" t="s">
        <v>45</v>
      </c>
      <c r="D78" s="25">
        <v>600</v>
      </c>
      <c r="E78" s="26">
        <f>252.43+160.98</f>
        <v>413.40999999999997</v>
      </c>
      <c r="F78" s="27">
        <f t="shared" ref="F78:F88" si="26">E78/$E$89</f>
        <v>0.18466520748648768</v>
      </c>
      <c r="G78" s="28">
        <f>SUM(E79:E$88)/$E$89</f>
        <v>0.69372850314914924</v>
      </c>
    </row>
    <row r="79" spans="2:23" x14ac:dyDescent="0.25">
      <c r="B79" s="31">
        <f>FORECAST(0.8,D78:D79,G78:G79)</f>
        <v>701.71316541665635</v>
      </c>
      <c r="C79" s="25" t="s">
        <v>46</v>
      </c>
      <c r="D79" s="25">
        <v>425</v>
      </c>
      <c r="E79" s="26">
        <f>251.95+157.38</f>
        <v>409.33</v>
      </c>
      <c r="F79" s="27">
        <f t="shared" si="26"/>
        <v>0.18284272122213785</v>
      </c>
      <c r="G79" s="28">
        <f>SUM(E80:E$88)/$E$89</f>
        <v>0.51088578192701128</v>
      </c>
    </row>
    <row r="80" spans="2:23" x14ac:dyDescent="0.25">
      <c r="B80" s="32"/>
      <c r="C80" s="25" t="s">
        <v>47</v>
      </c>
      <c r="D80" s="25">
        <v>300</v>
      </c>
      <c r="E80" s="26">
        <f>311.17+207.75</f>
        <v>518.92000000000007</v>
      </c>
      <c r="F80" s="27">
        <f t="shared" si="26"/>
        <v>0.23179523830794663</v>
      </c>
      <c r="G80" s="28">
        <f>SUM(E81:E$88)/$E$89</f>
        <v>0.27909054361906466</v>
      </c>
      <c r="H80" s="30"/>
      <c r="J80" s="48">
        <f>J66</f>
        <v>0.46097655512378377</v>
      </c>
      <c r="K80" s="48">
        <f>1-J80</f>
        <v>0.53902344487621623</v>
      </c>
      <c r="L80" s="48">
        <f>SUM($F$77:F80)</f>
        <v>0.7209094563809354</v>
      </c>
      <c r="M80" s="48">
        <v>1</v>
      </c>
      <c r="N80" s="20">
        <f>+(L80-J80)/(L80+M80-1)</f>
        <v>0.36056247973504257</v>
      </c>
      <c r="O80" s="49">
        <f>1-N80</f>
        <v>0.63943752026495737</v>
      </c>
      <c r="P80" s="20">
        <f>+N80*M80/K80</f>
        <v>0.66891799078951708</v>
      </c>
      <c r="Q80" s="20">
        <f>+O80*L80/J80</f>
        <v>1</v>
      </c>
      <c r="R80" s="50">
        <f>+N80*M80+O80*L80</f>
        <v>0.82153903485882629</v>
      </c>
    </row>
    <row r="81" spans="2:23" x14ac:dyDescent="0.25">
      <c r="B81" s="32"/>
      <c r="C81" s="33" t="s">
        <v>48</v>
      </c>
      <c r="D81" s="34">
        <v>212</v>
      </c>
      <c r="E81" s="35">
        <f>155.65+116.5</f>
        <v>272.14999999999998</v>
      </c>
      <c r="F81" s="27">
        <f t="shared" si="26"/>
        <v>0.12156608746147318</v>
      </c>
      <c r="G81" s="28">
        <f>SUM(E82:E$88)/$E$89</f>
        <v>0.15752445615759147</v>
      </c>
      <c r="H81" s="36">
        <f>SUM(F82:F88)*100</f>
        <v>15.752445615759147</v>
      </c>
      <c r="I81" s="30">
        <f>($I$194-H81)/($I$194*(100-H81))*10000</f>
        <v>72.26753360838407</v>
      </c>
      <c r="J81" s="48">
        <f t="shared" ref="J81:J87" si="27">J67</f>
        <v>0.59729275782903823</v>
      </c>
      <c r="K81" s="48">
        <f t="shared" ref="K81:K87" si="28">1-J81</f>
        <v>0.40270724217096177</v>
      </c>
      <c r="L81" s="48">
        <f>SUM($F$77:F81)</f>
        <v>0.84247554384240853</v>
      </c>
      <c r="M81" s="53">
        <v>0.87239999999999995</v>
      </c>
      <c r="N81" s="20">
        <f t="shared" ref="N81:N87" si="29">+(L81-J81)/(L81+M81-1)</f>
        <v>0.34297268681976317</v>
      </c>
      <c r="O81" s="49">
        <f t="shared" ref="O81:O87" si="30">1-N81</f>
        <v>0.65702731318023688</v>
      </c>
      <c r="P81" s="20">
        <f t="shared" ref="P81:P87" si="31">+N81*M81/K81</f>
        <v>0.74299476306546708</v>
      </c>
      <c r="Q81" s="20">
        <f t="shared" ref="Q81:Q87" si="32">+O81*L81/J81</f>
        <v>0.92673054500565699</v>
      </c>
      <c r="R81" s="50">
        <f t="shared" ref="R81:R87" si="33">+N81*M81+O81*L81</f>
        <v>0.8527388149723979</v>
      </c>
    </row>
    <row r="82" spans="2:23" x14ac:dyDescent="0.25">
      <c r="B82" s="32"/>
      <c r="C82" s="33" t="s">
        <v>49</v>
      </c>
      <c r="D82" s="34">
        <v>180</v>
      </c>
      <c r="E82" s="35">
        <f>22.32+18.42</f>
        <v>40.74</v>
      </c>
      <c r="F82" s="27">
        <f t="shared" si="26"/>
        <v>1.8198061374905081E-2</v>
      </c>
      <c r="G82" s="28">
        <f>SUM(E83:E$88)/$E$89</f>
        <v>0.13932639478268641</v>
      </c>
      <c r="J82" s="48">
        <f t="shared" si="27"/>
        <v>0.63167990141027042</v>
      </c>
      <c r="K82" s="48">
        <f t="shared" si="28"/>
        <v>0.36832009858972958</v>
      </c>
      <c r="L82" s="48">
        <f>SUM($F$77:F82)</f>
        <v>0.86067360521731362</v>
      </c>
      <c r="M82" s="48">
        <v>1</v>
      </c>
      <c r="N82" s="20">
        <f t="shared" si="29"/>
        <v>0.26606335133191872</v>
      </c>
      <c r="O82" s="49">
        <f t="shared" si="30"/>
        <v>0.73393664866808128</v>
      </c>
      <c r="P82" s="20">
        <f t="shared" si="31"/>
        <v>0.72236989605143898</v>
      </c>
      <c r="Q82" s="20">
        <f t="shared" si="32"/>
        <v>1</v>
      </c>
      <c r="R82" s="50">
        <f t="shared" si="33"/>
        <v>0.89774325274218914</v>
      </c>
    </row>
    <row r="83" spans="2:23" x14ac:dyDescent="0.25">
      <c r="B83" s="32"/>
      <c r="C83" s="33" t="s">
        <v>50</v>
      </c>
      <c r="D83" s="34">
        <v>150</v>
      </c>
      <c r="E83" s="35">
        <f>26.08+19.87</f>
        <v>45.95</v>
      </c>
      <c r="F83" s="27">
        <f t="shared" si="26"/>
        <v>2.0525304864430254E-2</v>
      </c>
      <c r="G83" s="28">
        <f>SUM(E84:E$88)/$E$89</f>
        <v>0.11880108991825615</v>
      </c>
      <c r="J83" s="48">
        <f t="shared" si="27"/>
        <v>0.67853983840030208</v>
      </c>
      <c r="K83" s="48">
        <f t="shared" si="28"/>
        <v>0.32146016159969792</v>
      </c>
      <c r="L83" s="48">
        <f>SUM($F$77:F83)</f>
        <v>0.88119891008174389</v>
      </c>
      <c r="M83" s="48">
        <v>1</v>
      </c>
      <c r="N83" s="20">
        <f t="shared" si="29"/>
        <v>0.22998107392420886</v>
      </c>
      <c r="O83" s="49">
        <f t="shared" si="30"/>
        <v>0.77001892607579114</v>
      </c>
      <c r="P83" s="20">
        <f t="shared" si="31"/>
        <v>0.7154263619471315</v>
      </c>
      <c r="Q83" s="20">
        <f t="shared" si="32"/>
        <v>1</v>
      </c>
      <c r="R83" s="50">
        <f t="shared" si="33"/>
        <v>0.90852091232451093</v>
      </c>
    </row>
    <row r="84" spans="2:23" x14ac:dyDescent="0.25">
      <c r="B84" s="32"/>
      <c r="C84" s="33" t="s">
        <v>51</v>
      </c>
      <c r="D84" s="34">
        <v>106</v>
      </c>
      <c r="E84" s="35">
        <f>31.21+25.43</f>
        <v>56.64</v>
      </c>
      <c r="F84" s="27">
        <f t="shared" si="26"/>
        <v>2.5300397552150803E-2</v>
      </c>
      <c r="G84" s="28">
        <f>SUM(E85:E$88)/$E$89</f>
        <v>9.3500692366105337E-2</v>
      </c>
      <c r="J84" s="48">
        <f t="shared" si="27"/>
        <v>0.74925212931951213</v>
      </c>
      <c r="K84" s="48">
        <f t="shared" si="28"/>
        <v>0.25074787068048787</v>
      </c>
      <c r="L84" s="48">
        <f>SUM($F$77:F84)</f>
        <v>0.90649930763389475</v>
      </c>
      <c r="M84" s="48">
        <v>1</v>
      </c>
      <c r="N84" s="20">
        <f t="shared" si="29"/>
        <v>0.17346640751973921</v>
      </c>
      <c r="O84" s="49">
        <f t="shared" si="30"/>
        <v>0.82653359248026081</v>
      </c>
      <c r="P84" s="20">
        <f t="shared" si="31"/>
        <v>0.69179613389729022</v>
      </c>
      <c r="Q84" s="20">
        <f t="shared" si="32"/>
        <v>1</v>
      </c>
      <c r="R84" s="50">
        <f t="shared" si="33"/>
        <v>0.92271853683925131</v>
      </c>
    </row>
    <row r="85" spans="2:23" x14ac:dyDescent="0.25">
      <c r="B85" s="32"/>
      <c r="C85" s="33" t="s">
        <v>52</v>
      </c>
      <c r="D85" s="34">
        <v>75</v>
      </c>
      <c r="E85" s="35">
        <f>18.52+19.23</f>
        <v>37.75</v>
      </c>
      <c r="F85" s="27">
        <f t="shared" si="26"/>
        <v>1.6862464823334974E-2</v>
      </c>
      <c r="G85" s="28">
        <f>SUM(E86:E$88)/$E$89</f>
        <v>7.663822754277036E-2</v>
      </c>
      <c r="J85" s="48">
        <f t="shared" si="27"/>
        <v>0.79407467774475982</v>
      </c>
      <c r="K85" s="48">
        <f t="shared" si="28"/>
        <v>0.20592532225524018</v>
      </c>
      <c r="L85" s="48">
        <f>SUM($F$77:F85)</f>
        <v>0.92336177245722972</v>
      </c>
      <c r="M85" s="48">
        <v>1</v>
      </c>
      <c r="N85" s="20">
        <f t="shared" si="29"/>
        <v>0.14001781161939811</v>
      </c>
      <c r="O85" s="49">
        <f t="shared" si="30"/>
        <v>0.85998218838060192</v>
      </c>
      <c r="P85" s="20">
        <f t="shared" si="31"/>
        <v>0.6799446036357244</v>
      </c>
      <c r="Q85" s="20">
        <f t="shared" si="32"/>
        <v>1</v>
      </c>
      <c r="R85" s="50">
        <f t="shared" si="33"/>
        <v>0.9340924893641579</v>
      </c>
    </row>
    <row r="86" spans="2:23" x14ac:dyDescent="0.25">
      <c r="B86" s="32"/>
      <c r="C86" s="33" t="s">
        <v>53</v>
      </c>
      <c r="D86" s="34">
        <v>53</v>
      </c>
      <c r="E86" s="51">
        <f>14.89+12</f>
        <v>26.89</v>
      </c>
      <c r="F86" s="27">
        <f t="shared" si="26"/>
        <v>1.2011435207933177E-2</v>
      </c>
      <c r="G86" s="28">
        <f>SUM(E87:E$88)/$E$89</f>
        <v>6.4626792334837188E-2</v>
      </c>
      <c r="J86" s="48">
        <f t="shared" si="27"/>
        <v>0.83794313201284043</v>
      </c>
      <c r="K86" s="48">
        <f t="shared" si="28"/>
        <v>0.16205686798715957</v>
      </c>
      <c r="L86" s="48">
        <f>SUM($F$77:F86)</f>
        <v>0.93537320766516285</v>
      </c>
      <c r="M86" s="48">
        <v>1</v>
      </c>
      <c r="N86" s="20">
        <f t="shared" si="29"/>
        <v>0.1041617130509041</v>
      </c>
      <c r="O86" s="49">
        <f t="shared" si="30"/>
        <v>0.89583828694909595</v>
      </c>
      <c r="P86" s="20">
        <f t="shared" si="31"/>
        <v>0.64274790908063995</v>
      </c>
      <c r="Q86" s="20">
        <f t="shared" si="32"/>
        <v>1</v>
      </c>
      <c r="R86" s="50">
        <f t="shared" si="33"/>
        <v>0.94210484506374459</v>
      </c>
    </row>
    <row r="87" spans="2:23" x14ac:dyDescent="0.25">
      <c r="B87" s="32"/>
      <c r="C87" s="33" t="s">
        <v>54</v>
      </c>
      <c r="D87" s="34">
        <v>38</v>
      </c>
      <c r="E87" s="35">
        <f>9.75+12.02</f>
        <v>21.77</v>
      </c>
      <c r="F87" s="27">
        <f t="shared" si="26"/>
        <v>9.7243936212980751E-3</v>
      </c>
      <c r="G87" s="28">
        <f>SUM(E88:E$88)/$E$89</f>
        <v>5.4902398713539108E-2</v>
      </c>
      <c r="J87" s="48">
        <f t="shared" si="27"/>
        <v>0.86697343444081132</v>
      </c>
      <c r="K87" s="48">
        <f t="shared" si="28"/>
        <v>0.13302656555918868</v>
      </c>
      <c r="L87" s="48">
        <f>SUM($F$77:F87)</f>
        <v>0.94509760128646092</v>
      </c>
      <c r="M87" s="48">
        <v>1</v>
      </c>
      <c r="N87" s="20">
        <f t="shared" si="29"/>
        <v>8.2662538492646126E-2</v>
      </c>
      <c r="O87" s="49">
        <f t="shared" si="30"/>
        <v>0.91733746150735385</v>
      </c>
      <c r="P87" s="20">
        <f t="shared" si="31"/>
        <v>0.62139872697732956</v>
      </c>
      <c r="Q87" s="20">
        <f t="shared" si="32"/>
        <v>1</v>
      </c>
      <c r="R87" s="50">
        <f t="shared" si="33"/>
        <v>0.94963597293345747</v>
      </c>
      <c r="T87" s="48">
        <f>SUM($F$21:$F$31)</f>
        <v>0.86697343444081132</v>
      </c>
      <c r="U87" s="48">
        <f>SUM(F77:F87)</f>
        <v>0.94509760128646092</v>
      </c>
      <c r="V87" s="20">
        <v>0.7</v>
      </c>
      <c r="W87" s="20">
        <f>U87*(T87-V87)*(1-V87)*(U87-T87)/T87/(U87-V87)^2/(1-T87)</f>
        <v>0.53383667135435997</v>
      </c>
    </row>
    <row r="88" spans="2:23" x14ac:dyDescent="0.25">
      <c r="B88" s="37"/>
      <c r="C88" s="38">
        <v>-38</v>
      </c>
      <c r="D88" s="39"/>
      <c r="E88" s="40">
        <f>119.6+3.31</f>
        <v>122.91</v>
      </c>
      <c r="F88" s="27">
        <f t="shared" si="26"/>
        <v>5.4902398713539108E-2</v>
      </c>
      <c r="G88" s="41"/>
    </row>
    <row r="89" spans="2:23" ht="15.75" thickBot="1" x14ac:dyDescent="0.3">
      <c r="B89" s="42"/>
      <c r="C89" s="43" t="s">
        <v>55</v>
      </c>
      <c r="D89" s="44"/>
      <c r="E89" s="45">
        <f>SUM(E77:E88)</f>
        <v>2238.6999999999998</v>
      </c>
      <c r="F89" s="27">
        <f>E89/$E$89</f>
        <v>1</v>
      </c>
      <c r="G89" s="45"/>
    </row>
    <row r="90" spans="2:23" ht="30.75" thickBot="1" x14ac:dyDescent="0.3">
      <c r="B90" s="21" t="s">
        <v>23</v>
      </c>
      <c r="C90" s="173" t="s">
        <v>24</v>
      </c>
      <c r="D90" s="174"/>
      <c r="E90" s="22" t="s">
        <v>25</v>
      </c>
      <c r="F90" s="23" t="s">
        <v>26</v>
      </c>
      <c r="G90" s="22" t="s">
        <v>27</v>
      </c>
    </row>
    <row r="91" spans="2:23" ht="38.25" thickTop="1" x14ac:dyDescent="0.25">
      <c r="B91" s="10" t="s">
        <v>10</v>
      </c>
      <c r="C91" s="24" t="s">
        <v>43</v>
      </c>
      <c r="D91" s="25">
        <v>1180</v>
      </c>
      <c r="E91" s="26">
        <f>103.88+73.13</f>
        <v>177.01</v>
      </c>
      <c r="F91" s="27">
        <f>E91/$E$103</f>
        <v>0.13557232030023358</v>
      </c>
      <c r="G91" s="28">
        <f>SUM(E92:E$102)/$E$103</f>
        <v>0.86442767969976619</v>
      </c>
    </row>
    <row r="92" spans="2:23" x14ac:dyDescent="0.25">
      <c r="B92" s="29" t="s">
        <v>44</v>
      </c>
      <c r="C92" s="25" t="s">
        <v>45</v>
      </c>
      <c r="D92" s="25">
        <v>600</v>
      </c>
      <c r="E92" s="26">
        <f>144.42+119.59</f>
        <v>264.01</v>
      </c>
      <c r="F92" s="27">
        <f t="shared" ref="F92:F103" si="34">E92/$E$103</f>
        <v>0.20220579787845133</v>
      </c>
      <c r="G92" s="28">
        <f>SUM(E93:E$102)/$E$103</f>
        <v>0.66222188182131514</v>
      </c>
    </row>
    <row r="93" spans="2:23" x14ac:dyDescent="0.25">
      <c r="B93" s="31">
        <f>FORECAST(0.8,D91:D92,G91:G92)</f>
        <v>995.19790917010732</v>
      </c>
      <c r="C93" s="25" t="s">
        <v>46</v>
      </c>
      <c r="D93" s="25">
        <v>425</v>
      </c>
      <c r="E93" s="26">
        <f>134.97+126.99</f>
        <v>261.95999999999998</v>
      </c>
      <c r="F93" s="27">
        <f t="shared" si="34"/>
        <v>0.200635698694137</v>
      </c>
      <c r="G93" s="28">
        <f>SUM(E94:E$102)/$E$103</f>
        <v>0.46158618312717814</v>
      </c>
    </row>
    <row r="94" spans="2:23" x14ac:dyDescent="0.25">
      <c r="B94" s="32"/>
      <c r="C94" s="25" t="s">
        <v>47</v>
      </c>
      <c r="D94" s="25">
        <v>300</v>
      </c>
      <c r="E94" s="26">
        <f>169.02+170.78</f>
        <v>339.8</v>
      </c>
      <c r="F94" s="27">
        <f t="shared" si="34"/>
        <v>0.26025351357561366</v>
      </c>
      <c r="G94" s="28">
        <f>SUM(E95:E$102)/$E$103</f>
        <v>0.20133266955156434</v>
      </c>
      <c r="H94" s="30"/>
      <c r="J94" s="48">
        <f>J80</f>
        <v>0.46097655512378377</v>
      </c>
      <c r="K94" s="48">
        <f>1-J94</f>
        <v>0.53902344487621623</v>
      </c>
      <c r="L94" s="48">
        <f>SUM($F$92:F94)</f>
        <v>0.66309501014820205</v>
      </c>
      <c r="M94" s="48">
        <v>1</v>
      </c>
      <c r="N94" s="20">
        <f>+(L94-J94)/(L94+M94-1)</f>
        <v>0.30481070122853843</v>
      </c>
      <c r="O94" s="49">
        <f>1-N94</f>
        <v>0.69518929877146163</v>
      </c>
      <c r="P94" s="20">
        <f>+N94*M94/K94</f>
        <v>0.56548690808529956</v>
      </c>
      <c r="Q94" s="20">
        <f>+O94*L94/J94</f>
        <v>1.0000000000000002</v>
      </c>
      <c r="R94" s="50">
        <f>+N94*M94+O94*L94</f>
        <v>0.76578725635232225</v>
      </c>
    </row>
    <row r="95" spans="2:23" x14ac:dyDescent="0.25">
      <c r="B95" s="32"/>
      <c r="C95" s="33" t="s">
        <v>48</v>
      </c>
      <c r="D95" s="34">
        <v>212</v>
      </c>
      <c r="E95" s="35">
        <f>74.42+83.95</f>
        <v>158.37</v>
      </c>
      <c r="F95" s="27">
        <f t="shared" si="34"/>
        <v>0.12129590625359016</v>
      </c>
      <c r="G95" s="28">
        <f>SUM(E96:E$102)/$E$103</f>
        <v>8.0036763297974184E-2</v>
      </c>
      <c r="H95" s="36">
        <f>SUM(F96:F102)*100</f>
        <v>8.0036763297974183</v>
      </c>
      <c r="I95" s="30">
        <f>($I$194-H95)/($I$194*(100-H95))*10000</f>
        <v>87.096222857175476</v>
      </c>
      <c r="J95" s="48">
        <f t="shared" ref="J95:J101" si="35">J81</f>
        <v>0.59729275782903823</v>
      </c>
      <c r="K95" s="48">
        <f t="shared" ref="K95:K101" si="36">1-J95</f>
        <v>0.40270724217096177</v>
      </c>
      <c r="L95" s="48">
        <f>SUM($F$92:F95)</f>
        <v>0.78439091640179215</v>
      </c>
      <c r="M95" s="53">
        <v>0.87239999999999995</v>
      </c>
      <c r="N95" s="20">
        <f t="shared" ref="N95:N101" si="37">+(L95-J95)/(L95+M95-1)</f>
        <v>0.28486715315395211</v>
      </c>
      <c r="O95" s="49">
        <f t="shared" ref="O95:O101" si="38">1-N95</f>
        <v>0.71513284684604783</v>
      </c>
      <c r="P95" s="20">
        <f t="shared" ref="P95:P101" si="39">+N95*M95/K95</f>
        <v>0.61711853770438063</v>
      </c>
      <c r="Q95" s="20">
        <f t="shared" ref="Q95:Q101" si="40">+O95*L95/J95</f>
        <v>0.93914366403074923</v>
      </c>
      <c r="R95" s="50">
        <f t="shared" ref="R95:R101" si="41">+N95*M95+O95*L95</f>
        <v>0.80946181349810176</v>
      </c>
    </row>
    <row r="96" spans="2:23" x14ac:dyDescent="0.25">
      <c r="B96" s="32"/>
      <c r="C96" s="33" t="s">
        <v>49</v>
      </c>
      <c r="D96" s="34">
        <v>180</v>
      </c>
      <c r="E96" s="35">
        <f>8.83+12.08</f>
        <v>20.91</v>
      </c>
      <c r="F96" s="27">
        <f t="shared" si="34"/>
        <v>1.6015011680006127E-2</v>
      </c>
      <c r="G96" s="28">
        <f>SUM(E97:E$102)/$E$103</f>
        <v>6.4021751617968053E-2</v>
      </c>
      <c r="J96" s="48">
        <f t="shared" si="35"/>
        <v>0.63167990141027042</v>
      </c>
      <c r="K96" s="48">
        <f t="shared" si="36"/>
        <v>0.36832009858972958</v>
      </c>
      <c r="L96" s="48">
        <f>SUM($F$92:F96)</f>
        <v>0.80040592808179822</v>
      </c>
      <c r="M96" s="48">
        <v>1</v>
      </c>
      <c r="N96" s="20">
        <f t="shared" si="37"/>
        <v>0.21080057100012473</v>
      </c>
      <c r="O96" s="49">
        <f t="shared" si="38"/>
        <v>0.78919942899987527</v>
      </c>
      <c r="P96" s="20">
        <f t="shared" si="39"/>
        <v>0.57232980716302073</v>
      </c>
      <c r="Q96" s="20">
        <f t="shared" si="40"/>
        <v>1</v>
      </c>
      <c r="R96" s="50">
        <f t="shared" si="41"/>
        <v>0.84248047241039514</v>
      </c>
    </row>
    <row r="97" spans="2:23" x14ac:dyDescent="0.25">
      <c r="B97" s="32"/>
      <c r="C97" s="33" t="s">
        <v>50</v>
      </c>
      <c r="D97" s="34">
        <v>150</v>
      </c>
      <c r="E97" s="35">
        <f>8.58+12</f>
        <v>20.58</v>
      </c>
      <c r="F97" s="27">
        <f t="shared" si="34"/>
        <v>1.5762264006433574E-2</v>
      </c>
      <c r="G97" s="28">
        <f>SUM(E98:E$102)/$E$103</f>
        <v>4.8259487611534486E-2</v>
      </c>
      <c r="J97" s="48">
        <f t="shared" si="35"/>
        <v>0.67853983840030208</v>
      </c>
      <c r="K97" s="48">
        <f t="shared" si="36"/>
        <v>0.32146016159969792</v>
      </c>
      <c r="L97" s="48">
        <f>SUM($F$92:F97)</f>
        <v>0.81616819208823177</v>
      </c>
      <c r="M97" s="48">
        <v>1</v>
      </c>
      <c r="N97" s="20">
        <f t="shared" si="37"/>
        <v>0.1686274410373633</v>
      </c>
      <c r="O97" s="49">
        <f t="shared" si="38"/>
        <v>0.83137255896263673</v>
      </c>
      <c r="P97" s="20">
        <f t="shared" si="39"/>
        <v>0.52456715071072668</v>
      </c>
      <c r="Q97" s="20">
        <f t="shared" si="40"/>
        <v>1</v>
      </c>
      <c r="R97" s="50">
        <f t="shared" si="41"/>
        <v>0.84716727943766534</v>
      </c>
    </row>
    <row r="98" spans="2:23" x14ac:dyDescent="0.25">
      <c r="B98" s="32"/>
      <c r="C98" s="33" t="s">
        <v>51</v>
      </c>
      <c r="D98" s="34">
        <v>106</v>
      </c>
      <c r="E98" s="35">
        <f>6.55+11.93</f>
        <v>18.48</v>
      </c>
      <c r="F98" s="27">
        <f t="shared" si="34"/>
        <v>1.4153869720062804E-2</v>
      </c>
      <c r="G98" s="28">
        <f>SUM(E99:E$102)/$E$103</f>
        <v>3.4105617891471679E-2</v>
      </c>
      <c r="J98" s="48">
        <f t="shared" si="35"/>
        <v>0.74925212931951213</v>
      </c>
      <c r="K98" s="48">
        <f t="shared" si="36"/>
        <v>0.25074787068048787</v>
      </c>
      <c r="L98" s="48">
        <f>SUM($F$92:F98)</f>
        <v>0.8303220618082946</v>
      </c>
      <c r="M98" s="48">
        <v>1</v>
      </c>
      <c r="N98" s="20">
        <f t="shared" si="37"/>
        <v>9.7636731839000498E-2</v>
      </c>
      <c r="O98" s="49">
        <f t="shared" si="38"/>
        <v>0.90236326816099954</v>
      </c>
      <c r="P98" s="20">
        <f t="shared" si="39"/>
        <v>0.3893820975389769</v>
      </c>
      <c r="Q98" s="20">
        <f t="shared" si="40"/>
        <v>1</v>
      </c>
      <c r="R98" s="50">
        <f t="shared" si="41"/>
        <v>0.84688886115851258</v>
      </c>
    </row>
    <row r="99" spans="2:23" x14ac:dyDescent="0.25">
      <c r="B99" s="32"/>
      <c r="C99" s="33" t="s">
        <v>52</v>
      </c>
      <c r="D99" s="34">
        <v>75</v>
      </c>
      <c r="E99" s="35">
        <f>2.13+5.34</f>
        <v>7.47</v>
      </c>
      <c r="F99" s="27">
        <f t="shared" si="34"/>
        <v>5.7212882472331781E-3</v>
      </c>
      <c r="G99" s="28">
        <f>SUM(E100:E$102)/$E$103</f>
        <v>2.8384329644238503E-2</v>
      </c>
      <c r="J99" s="48">
        <f t="shared" si="35"/>
        <v>0.79407467774475982</v>
      </c>
      <c r="K99" s="48">
        <f t="shared" si="36"/>
        <v>0.20592532225524018</v>
      </c>
      <c r="L99" s="48">
        <f>SUM($F$92:F99)</f>
        <v>0.83604335005552777</v>
      </c>
      <c r="M99" s="48">
        <v>1</v>
      </c>
      <c r="N99" s="20">
        <f t="shared" si="37"/>
        <v>5.0199158103441055E-2</v>
      </c>
      <c r="O99" s="49">
        <f t="shared" si="38"/>
        <v>0.94980084189655889</v>
      </c>
      <c r="P99" s="20">
        <f t="shared" si="39"/>
        <v>0.24377360469160872</v>
      </c>
      <c r="Q99" s="20">
        <f t="shared" si="40"/>
        <v>1</v>
      </c>
      <c r="R99" s="50">
        <f t="shared" si="41"/>
        <v>0.84427383584820093</v>
      </c>
    </row>
    <row r="100" spans="2:23" x14ac:dyDescent="0.25">
      <c r="B100" s="32"/>
      <c r="C100" s="33" t="s">
        <v>53</v>
      </c>
      <c r="D100" s="34">
        <v>53</v>
      </c>
      <c r="E100" s="35">
        <f>1.16+4.17</f>
        <v>5.33</v>
      </c>
      <c r="F100" s="27">
        <f t="shared" si="34"/>
        <v>4.0822578792172482E-3</v>
      </c>
      <c r="G100" s="28">
        <f>SUM(E101:E$102)/$E$103</f>
        <v>2.4302071765021253E-2</v>
      </c>
      <c r="J100" s="48">
        <f t="shared" si="35"/>
        <v>0.83794313201284043</v>
      </c>
      <c r="K100" s="48">
        <f t="shared" si="36"/>
        <v>0.16205686798715957</v>
      </c>
      <c r="L100" s="48">
        <f>SUM($F$92:F100)</f>
        <v>0.840125607934745</v>
      </c>
      <c r="M100" s="48">
        <v>1</v>
      </c>
      <c r="N100" s="20">
        <f t="shared" si="37"/>
        <v>2.5977971642474787E-3</v>
      </c>
      <c r="O100" s="49">
        <f t="shared" si="38"/>
        <v>0.99740220283575254</v>
      </c>
      <c r="P100" s="20">
        <f t="shared" si="39"/>
        <v>1.6030157786668522E-2</v>
      </c>
      <c r="Q100" s="20">
        <f t="shared" si="40"/>
        <v>1</v>
      </c>
      <c r="R100" s="50">
        <f t="shared" si="41"/>
        <v>0.84054092917708789</v>
      </c>
    </row>
    <row r="101" spans="2:23" x14ac:dyDescent="0.25">
      <c r="B101" s="32"/>
      <c r="C101" s="33" t="s">
        <v>54</v>
      </c>
      <c r="D101" s="34">
        <v>38</v>
      </c>
      <c r="E101" s="35">
        <f>1.09+2.41</f>
        <v>3.5</v>
      </c>
      <c r="F101" s="27">
        <f t="shared" si="34"/>
        <v>2.6806571439512883E-3</v>
      </c>
      <c r="G101" s="28">
        <f>SUM(E102:E$102)/$E$103</f>
        <v>2.1621414621069965E-2</v>
      </c>
      <c r="J101" s="48">
        <f t="shared" si="35"/>
        <v>0.86697343444081132</v>
      </c>
      <c r="K101" s="48">
        <f t="shared" si="36"/>
        <v>0.13302656555918868</v>
      </c>
      <c r="L101" s="48">
        <f>SUM($F$92:F101)</f>
        <v>0.84280626507869627</v>
      </c>
      <c r="M101" s="48">
        <v>1</v>
      </c>
      <c r="N101" s="20">
        <f t="shared" si="37"/>
        <v>-2.8674643703388299E-2</v>
      </c>
      <c r="O101" s="49">
        <f t="shared" si="38"/>
        <v>1.0286746437033882</v>
      </c>
      <c r="P101" s="20">
        <f t="shared" si="39"/>
        <v>-0.21555576950251967</v>
      </c>
      <c r="Q101" s="20">
        <f t="shared" si="40"/>
        <v>1</v>
      </c>
      <c r="R101" s="50">
        <f t="shared" si="41"/>
        <v>0.83829879073742297</v>
      </c>
      <c r="T101" s="48">
        <f>SUM($F$21:$F$31)</f>
        <v>0.86697343444081132</v>
      </c>
      <c r="U101" s="48">
        <f>SUM(F91:F101)</f>
        <v>0.97837858537892974</v>
      </c>
      <c r="V101" s="20">
        <v>0.7</v>
      </c>
      <c r="W101" s="20">
        <f>U101*(T101-V101)*(1-V101)*(U101-T101)/T101/(U101-V101)^2/(1-T101)</f>
        <v>0.6108928309767544</v>
      </c>
    </row>
    <row r="102" spans="2:23" x14ac:dyDescent="0.25">
      <c r="B102" s="37"/>
      <c r="C102" s="38">
        <v>-38</v>
      </c>
      <c r="D102" s="39"/>
      <c r="E102" s="40">
        <f>0.42+27.81</f>
        <v>28.23</v>
      </c>
      <c r="F102" s="27">
        <f t="shared" si="34"/>
        <v>2.1621414621069965E-2</v>
      </c>
      <c r="G102" s="41"/>
    </row>
    <row r="103" spans="2:23" ht="15.75" thickBot="1" x14ac:dyDescent="0.3">
      <c r="B103" s="57"/>
      <c r="C103" s="58" t="s">
        <v>55</v>
      </c>
      <c r="D103" s="59"/>
      <c r="E103" s="60">
        <f>SUM(E91:E102)</f>
        <v>1305.6500000000001</v>
      </c>
      <c r="F103" s="61">
        <f t="shared" si="34"/>
        <v>1</v>
      </c>
      <c r="G103" s="60"/>
    </row>
    <row r="104" spans="2:23" x14ac:dyDescent="0.25">
      <c r="C104" s="62"/>
      <c r="D104" s="63"/>
      <c r="E104" s="64"/>
      <c r="F104" s="65"/>
      <c r="G104" s="64"/>
    </row>
    <row r="105" spans="2:23" x14ac:dyDescent="0.25">
      <c r="C105" s="62"/>
      <c r="D105" s="63"/>
      <c r="E105" s="64"/>
      <c r="F105" s="65"/>
      <c r="G105" s="64"/>
    </row>
    <row r="106" spans="2:23" ht="30" x14ac:dyDescent="0.25">
      <c r="B106" s="66" t="s">
        <v>23</v>
      </c>
      <c r="C106" s="175" t="s">
        <v>24</v>
      </c>
      <c r="D106" s="175"/>
      <c r="E106" s="67" t="s">
        <v>25</v>
      </c>
      <c r="F106" s="68" t="s">
        <v>26</v>
      </c>
      <c r="G106" s="67" t="s">
        <v>27</v>
      </c>
    </row>
    <row r="107" spans="2:23" ht="56.25" x14ac:dyDescent="0.25">
      <c r="B107" s="69" t="s">
        <v>61</v>
      </c>
      <c r="C107" s="70" t="s">
        <v>43</v>
      </c>
      <c r="D107" s="71">
        <v>1180</v>
      </c>
      <c r="E107" s="72">
        <v>68.180000000000007</v>
      </c>
      <c r="F107" s="73">
        <f t="shared" ref="F107:F119" si="42">E107/$E$119</f>
        <v>7.2740075321931913E-2</v>
      </c>
      <c r="G107" s="74">
        <f>SUM(E108:E$118)/$E$119</f>
        <v>0.92725992467806806</v>
      </c>
    </row>
    <row r="108" spans="2:23" x14ac:dyDescent="0.25">
      <c r="B108" s="29" t="s">
        <v>44</v>
      </c>
      <c r="C108" s="25" t="s">
        <v>45</v>
      </c>
      <c r="D108" s="25">
        <v>600</v>
      </c>
      <c r="E108" s="26">
        <v>100.97</v>
      </c>
      <c r="F108" s="27">
        <f t="shared" si="42"/>
        <v>0.1077231652281529</v>
      </c>
      <c r="G108" s="28">
        <f>SUM(E109:E$118)/$E$119</f>
        <v>0.81953675944991522</v>
      </c>
    </row>
    <row r="109" spans="2:23" x14ac:dyDescent="0.25">
      <c r="B109" s="31">
        <f>FORECAST(0.8,D108:D109,G108:G109)</f>
        <v>568.72340425531934</v>
      </c>
      <c r="C109" s="25" t="s">
        <v>46</v>
      </c>
      <c r="D109" s="25">
        <v>425</v>
      </c>
      <c r="E109" s="26">
        <v>102.46</v>
      </c>
      <c r="F109" s="27">
        <f t="shared" si="42"/>
        <v>0.10931282073166827</v>
      </c>
      <c r="G109" s="28">
        <f>SUM(E110:E$118)/$E$119</f>
        <v>0.71022393871824685</v>
      </c>
    </row>
    <row r="110" spans="2:23" x14ac:dyDescent="0.25">
      <c r="B110" s="32"/>
      <c r="C110" s="25" t="s">
        <v>47</v>
      </c>
      <c r="D110" s="25">
        <v>300</v>
      </c>
      <c r="E110" s="26">
        <v>153.1</v>
      </c>
      <c r="F110" s="27">
        <f t="shared" si="42"/>
        <v>0.16333977019342585</v>
      </c>
      <c r="G110" s="28">
        <f>SUM(E111:E$118)/$E$119</f>
        <v>0.54688416852482091</v>
      </c>
    </row>
    <row r="111" spans="2:23" x14ac:dyDescent="0.25">
      <c r="B111" s="32"/>
      <c r="C111" s="33" t="s">
        <v>48</v>
      </c>
      <c r="D111" s="34">
        <v>212</v>
      </c>
      <c r="E111" s="35">
        <v>126.15</v>
      </c>
      <c r="F111" s="27">
        <f t="shared" si="42"/>
        <v>0.13458727635467455</v>
      </c>
      <c r="G111" s="28">
        <f>SUM(E112:E$118)/$E$119</f>
        <v>0.41229689217014642</v>
      </c>
      <c r="H111" s="36">
        <f>SUM(F112:F118)*100</f>
        <v>41.229689217014645</v>
      </c>
      <c r="I111" s="30">
        <f>($I$194-H111)/($I$194*(100-H111))*10000</f>
        <v>-4.0518683806948186</v>
      </c>
    </row>
    <row r="112" spans="2:23" x14ac:dyDescent="0.25">
      <c r="B112" s="32"/>
      <c r="C112" s="33" t="s">
        <v>49</v>
      </c>
      <c r="D112" s="34">
        <v>180</v>
      </c>
      <c r="E112" s="35">
        <v>31.27</v>
      </c>
      <c r="F112" s="27">
        <f t="shared" si="42"/>
        <v>3.3361427916057652E-2</v>
      </c>
      <c r="G112" s="28">
        <f>SUM(E113:E$118)/$E$119</f>
        <v>0.37893546425408875</v>
      </c>
    </row>
    <row r="113" spans="2:18" x14ac:dyDescent="0.25">
      <c r="B113" s="32"/>
      <c r="C113" s="33" t="s">
        <v>50</v>
      </c>
      <c r="D113" s="34">
        <v>150</v>
      </c>
      <c r="E113" s="35">
        <v>44.95</v>
      </c>
      <c r="F113" s="27">
        <f t="shared" si="42"/>
        <v>4.795638582752771E-2</v>
      </c>
      <c r="G113" s="28">
        <f>SUM(E114:E$118)/$E$119</f>
        <v>0.3309790784265611</v>
      </c>
    </row>
    <row r="114" spans="2:18" x14ac:dyDescent="0.25">
      <c r="B114" s="32"/>
      <c r="C114" s="33" t="s">
        <v>51</v>
      </c>
      <c r="D114" s="34">
        <v>106</v>
      </c>
      <c r="E114" s="35">
        <v>62.9</v>
      </c>
      <c r="F114" s="27">
        <f t="shared" si="42"/>
        <v>6.7106933671890828E-2</v>
      </c>
      <c r="G114" s="28">
        <f>SUM(E115:E$118)/$E$119</f>
        <v>0.26387214475467025</v>
      </c>
    </row>
    <row r="115" spans="2:18" x14ac:dyDescent="0.25">
      <c r="B115" s="32"/>
      <c r="C115" s="33" t="s">
        <v>52</v>
      </c>
      <c r="D115" s="34">
        <v>75</v>
      </c>
      <c r="E115" s="35">
        <v>46.16</v>
      </c>
      <c r="F115" s="27">
        <f t="shared" si="42"/>
        <v>4.9247314122328786E-2</v>
      </c>
      <c r="G115" s="28">
        <f>SUM(E116:E$118)/$E$119</f>
        <v>0.2146248306323415</v>
      </c>
    </row>
    <row r="116" spans="2:18" x14ac:dyDescent="0.25">
      <c r="B116" s="32"/>
      <c r="C116" s="33" t="s">
        <v>53</v>
      </c>
      <c r="D116" s="34">
        <v>53</v>
      </c>
      <c r="E116" s="35">
        <v>42.88</v>
      </c>
      <c r="F116" s="27">
        <f t="shared" si="42"/>
        <v>4.5747938248818426E-2</v>
      </c>
      <c r="G116" s="28">
        <f>SUM(E117:E$118)/$E$119</f>
        <v>0.16887689238352305</v>
      </c>
    </row>
    <row r="117" spans="2:18" x14ac:dyDescent="0.25">
      <c r="B117" s="32"/>
      <c r="C117" s="33" t="s">
        <v>54</v>
      </c>
      <c r="D117" s="34">
        <v>38</v>
      </c>
      <c r="E117" s="35">
        <v>23.45</v>
      </c>
      <c r="F117" s="27">
        <f t="shared" si="42"/>
        <v>2.5018403729822575E-2</v>
      </c>
      <c r="G117" s="28">
        <f>SUM(E118:E$118)/$E$119</f>
        <v>0.14385848865370049</v>
      </c>
    </row>
    <row r="118" spans="2:18" x14ac:dyDescent="0.25">
      <c r="B118" s="37"/>
      <c r="C118" s="38">
        <v>-38</v>
      </c>
      <c r="D118" s="39"/>
      <c r="E118" s="40">
        <v>134.84</v>
      </c>
      <c r="F118" s="27">
        <f t="shared" si="42"/>
        <v>0.14385848865370049</v>
      </c>
      <c r="G118" s="41"/>
    </row>
    <row r="119" spans="2:18" ht="15.75" thickBot="1" x14ac:dyDescent="0.3">
      <c r="B119" s="42"/>
      <c r="C119" s="43" t="s">
        <v>55</v>
      </c>
      <c r="D119" s="44"/>
      <c r="E119" s="45">
        <f>SUM(E107:E118)</f>
        <v>937.31000000000006</v>
      </c>
      <c r="F119" s="27">
        <f t="shared" si="42"/>
        <v>1</v>
      </c>
      <c r="G119" s="45"/>
    </row>
    <row r="120" spans="2:18" ht="30.75" thickBot="1" x14ac:dyDescent="0.3">
      <c r="B120" s="21" t="s">
        <v>23</v>
      </c>
      <c r="C120" s="173" t="s">
        <v>24</v>
      </c>
      <c r="D120" s="174"/>
      <c r="E120" s="22" t="s">
        <v>25</v>
      </c>
      <c r="F120" s="23" t="s">
        <v>26</v>
      </c>
      <c r="G120" s="22" t="s">
        <v>27</v>
      </c>
    </row>
    <row r="121" spans="2:18" ht="30.75" customHeight="1" thickTop="1" x14ac:dyDescent="0.25">
      <c r="B121" s="10" t="s">
        <v>16</v>
      </c>
      <c r="C121" s="24" t="s">
        <v>43</v>
      </c>
      <c r="D121" s="25">
        <v>1180</v>
      </c>
      <c r="E121" s="26">
        <f>113.55+118.72</f>
        <v>232.26999999999998</v>
      </c>
      <c r="F121" s="27">
        <f>E121/$E$133</f>
        <v>0.11419426840839926</v>
      </c>
      <c r="G121" s="28">
        <f>SUM(E122:E$132)/$E$133</f>
        <v>0.8858057315916007</v>
      </c>
    </row>
    <row r="122" spans="2:18" x14ac:dyDescent="0.25">
      <c r="B122" s="29" t="s">
        <v>44</v>
      </c>
      <c r="C122" s="25" t="s">
        <v>45</v>
      </c>
      <c r="D122" s="25">
        <v>600</v>
      </c>
      <c r="E122" s="26">
        <f>179.84+184.9</f>
        <v>364.74</v>
      </c>
      <c r="F122" s="27">
        <f t="shared" ref="F122:F133" si="43">E122/$E$133</f>
        <v>0.17932241554776573</v>
      </c>
      <c r="G122" s="28">
        <f>SUM(E123:E$132)/$E$133</f>
        <v>0.70648331604383496</v>
      </c>
    </row>
    <row r="123" spans="2:18" x14ac:dyDescent="0.25">
      <c r="B123" s="31">
        <f>FORECAST(0.8,D121:D122,G121:G122)</f>
        <v>902.47014311564453</v>
      </c>
      <c r="C123" s="25" t="s">
        <v>46</v>
      </c>
      <c r="D123" s="25">
        <v>425</v>
      </c>
      <c r="E123" s="26">
        <f>198.02+202.08</f>
        <v>400.1</v>
      </c>
      <c r="F123" s="27">
        <f t="shared" si="43"/>
        <v>0.19670696512765554</v>
      </c>
      <c r="G123" s="28">
        <f>SUM(E124:E$132)/$E$133</f>
        <v>0.50977635091617968</v>
      </c>
    </row>
    <row r="124" spans="2:18" x14ac:dyDescent="0.25">
      <c r="B124" s="32"/>
      <c r="C124" s="25" t="s">
        <v>47</v>
      </c>
      <c r="D124" s="25">
        <v>300</v>
      </c>
      <c r="E124" s="26">
        <f>245.64+248.76</f>
        <v>494.4</v>
      </c>
      <c r="F124" s="27">
        <f t="shared" si="43"/>
        <v>0.24306904163737286</v>
      </c>
      <c r="G124" s="28">
        <f>SUM(E125:E$132)/$E$133</f>
        <v>0.2667073092788067</v>
      </c>
      <c r="H124" s="30"/>
      <c r="J124" s="48">
        <f>SUM($F$107:F110)</f>
        <v>0.45311583147517898</v>
      </c>
      <c r="K124" s="48">
        <f>1-J124</f>
        <v>0.54688416852482102</v>
      </c>
      <c r="L124" s="48">
        <f>SUM($F$121:F124)</f>
        <v>0.73329269072119341</v>
      </c>
      <c r="M124" s="48">
        <v>1</v>
      </c>
      <c r="N124" s="20">
        <f>+(L124-J124)/(L124+M124-1)</f>
        <v>0.38208052908649681</v>
      </c>
      <c r="O124" s="49">
        <f>1-N124</f>
        <v>0.61791947091350319</v>
      </c>
      <c r="P124" s="20">
        <f>+N124*M124/K124</f>
        <v>0.69864982582533031</v>
      </c>
      <c r="Q124" s="20">
        <f>+O124*L124/J124</f>
        <v>1</v>
      </c>
      <c r="R124" s="50">
        <f>+N124*M124+O124*L124</f>
        <v>0.83519636056167579</v>
      </c>
    </row>
    <row r="125" spans="2:18" x14ac:dyDescent="0.25">
      <c r="B125" s="32"/>
      <c r="C125" s="33" t="s">
        <v>48</v>
      </c>
      <c r="D125" s="34">
        <v>212</v>
      </c>
      <c r="E125" s="35">
        <f>106.39+107.7</f>
        <v>214.09</v>
      </c>
      <c r="F125" s="27">
        <f t="shared" si="43"/>
        <v>0.10525617136760752</v>
      </c>
      <c r="G125" s="28">
        <f>SUM(E126:E$132)/$E$133</f>
        <v>0.16145113791119919</v>
      </c>
      <c r="H125" s="36">
        <f>SUM(F126:F132)*100</f>
        <v>16.145113791119918</v>
      </c>
      <c r="I125" s="30">
        <f>($I$194-H125)/($I$194*(100-H125))*10000</f>
        <v>71.443133886006279</v>
      </c>
      <c r="J125" s="48">
        <f>SUM($F$107:F111)</f>
        <v>0.58770310782985358</v>
      </c>
      <c r="K125" s="48">
        <f t="shared" ref="K125:K131" si="44">1-J125</f>
        <v>0.41229689217014642</v>
      </c>
      <c r="L125" s="48">
        <f>SUM($F$121:F125)</f>
        <v>0.83854886208880097</v>
      </c>
      <c r="M125" s="53">
        <v>0.87239999999999995</v>
      </c>
      <c r="N125" s="20">
        <f t="shared" ref="N125:N131" si="45">+(L125-J125)/(L125+M125-1)</f>
        <v>0.352832345102784</v>
      </c>
      <c r="O125" s="49">
        <f t="shared" ref="O125:O131" si="46">1-N125</f>
        <v>0.64716765489721606</v>
      </c>
      <c r="P125" s="20">
        <f t="shared" ref="P125:P131" si="47">+N125*M125/K125</f>
        <v>0.74657593523805044</v>
      </c>
      <c r="Q125" s="20">
        <f t="shared" ref="Q125:Q131" si="48">+O125*L125/J125</f>
        <v>0.92339430124615007</v>
      </c>
      <c r="R125" s="50">
        <f t="shared" ref="R125:R131" si="49">+N125*M125+O125*L125</f>
        <v>0.85049263846240719</v>
      </c>
    </row>
    <row r="126" spans="2:18" x14ac:dyDescent="0.25">
      <c r="B126" s="32"/>
      <c r="C126" s="33" t="s">
        <v>49</v>
      </c>
      <c r="D126" s="34">
        <v>180</v>
      </c>
      <c r="E126" s="35">
        <f>16.49+17.55</f>
        <v>34.04</v>
      </c>
      <c r="F126" s="27">
        <f t="shared" si="43"/>
        <v>1.6735578837654072E-2</v>
      </c>
      <c r="G126" s="28">
        <f>SUM(E127:E$132)/$E$133</f>
        <v>0.14471555907354511</v>
      </c>
      <c r="J126" s="48">
        <f>SUM($F$107:F112)</f>
        <v>0.62106453574591125</v>
      </c>
      <c r="K126" s="48">
        <f t="shared" si="44"/>
        <v>0.37893546425408875</v>
      </c>
      <c r="L126" s="48">
        <f>SUM($F$121:F126)</f>
        <v>0.85528444092645506</v>
      </c>
      <c r="M126" s="48">
        <v>1</v>
      </c>
      <c r="N126" s="20">
        <f t="shared" si="45"/>
        <v>0.27385030520002657</v>
      </c>
      <c r="O126" s="49">
        <f t="shared" si="46"/>
        <v>0.72614969479997349</v>
      </c>
      <c r="P126" s="20">
        <f t="shared" si="47"/>
        <v>0.72268322981878752</v>
      </c>
      <c r="Q126" s="20">
        <f t="shared" si="48"/>
        <v>1</v>
      </c>
      <c r="R126" s="50">
        <f t="shared" si="49"/>
        <v>0.89491484094593776</v>
      </c>
    </row>
    <row r="127" spans="2:18" x14ac:dyDescent="0.25">
      <c r="B127" s="32"/>
      <c r="C127" s="33" t="s">
        <v>50</v>
      </c>
      <c r="D127" s="34">
        <v>150</v>
      </c>
      <c r="E127" s="35">
        <f>18.38+23.18</f>
        <v>41.56</v>
      </c>
      <c r="F127" s="27">
        <f t="shared" si="43"/>
        <v>2.043274549039081E-2</v>
      </c>
      <c r="G127" s="28">
        <f>SUM(E128:E$132)/$E$133</f>
        <v>0.12428281358315432</v>
      </c>
      <c r="J127" s="48">
        <f>SUM($F$107:F113)</f>
        <v>0.66902092157343895</v>
      </c>
      <c r="K127" s="48">
        <f t="shared" si="44"/>
        <v>0.33097907842656105</v>
      </c>
      <c r="L127" s="48">
        <f>SUM($F$121:F127)</f>
        <v>0.87571718641684582</v>
      </c>
      <c r="M127" s="48">
        <v>1</v>
      </c>
      <c r="N127" s="20">
        <f t="shared" si="45"/>
        <v>0.23603084197666802</v>
      </c>
      <c r="O127" s="49">
        <f t="shared" si="46"/>
        <v>0.76396915802333198</v>
      </c>
      <c r="P127" s="20">
        <f t="shared" si="47"/>
        <v>0.71312918961141969</v>
      </c>
      <c r="Q127" s="20">
        <f t="shared" si="48"/>
        <v>1</v>
      </c>
      <c r="R127" s="50">
        <f t="shared" si="49"/>
        <v>0.90505176355010697</v>
      </c>
    </row>
    <row r="128" spans="2:18" x14ac:dyDescent="0.25">
      <c r="B128" s="32"/>
      <c r="C128" s="33" t="s">
        <v>51</v>
      </c>
      <c r="D128" s="34">
        <v>106</v>
      </c>
      <c r="E128" s="35">
        <f>22.07+24.01</f>
        <v>46.08</v>
      </c>
      <c r="F128" s="27">
        <f t="shared" si="43"/>
        <v>2.2654978638046403E-2</v>
      </c>
      <c r="G128" s="28">
        <f>SUM(E129:E$132)/$E$133</f>
        <v>0.10162783494510789</v>
      </c>
      <c r="J128" s="48">
        <f>SUM($F$107:F114)</f>
        <v>0.73612785524532975</v>
      </c>
      <c r="K128" s="48">
        <f t="shared" si="44"/>
        <v>0.26387214475467025</v>
      </c>
      <c r="L128" s="48">
        <f>SUM($F$121:F128)</f>
        <v>0.89837216505489226</v>
      </c>
      <c r="M128" s="48">
        <v>1</v>
      </c>
      <c r="N128" s="20">
        <f t="shared" si="45"/>
        <v>0.18059810412720109</v>
      </c>
      <c r="O128" s="49">
        <f t="shared" si="46"/>
        <v>0.81940189587279888</v>
      </c>
      <c r="P128" s="20">
        <f t="shared" si="47"/>
        <v>0.68441519014865515</v>
      </c>
      <c r="Q128" s="20">
        <f t="shared" si="48"/>
        <v>1</v>
      </c>
      <c r="R128" s="50">
        <f t="shared" si="49"/>
        <v>0.91672595937253087</v>
      </c>
    </row>
    <row r="129" spans="2:23" x14ac:dyDescent="0.25">
      <c r="B129" s="32"/>
      <c r="C129" s="33" t="s">
        <v>52</v>
      </c>
      <c r="D129" s="34">
        <v>75</v>
      </c>
      <c r="E129" s="35">
        <f>13.95+18.91</f>
        <v>32.86</v>
      </c>
      <c r="F129" s="27">
        <f t="shared" si="43"/>
        <v>1.6155438325655486E-2</v>
      </c>
      <c r="G129" s="28">
        <f>SUM(E130:E$132)/$E$133</f>
        <v>8.5472396619452412E-2</v>
      </c>
      <c r="J129" s="48">
        <f>SUM($F$107:F115)</f>
        <v>0.7853751693676585</v>
      </c>
      <c r="K129" s="48">
        <f t="shared" si="44"/>
        <v>0.2146248306323415</v>
      </c>
      <c r="L129" s="48">
        <f>SUM($F$121:F129)</f>
        <v>0.91452760338054773</v>
      </c>
      <c r="M129" s="48">
        <v>1</v>
      </c>
      <c r="N129" s="20">
        <f t="shared" si="45"/>
        <v>0.14122311183990263</v>
      </c>
      <c r="O129" s="49">
        <f t="shared" si="46"/>
        <v>0.85877688816009734</v>
      </c>
      <c r="P129" s="20">
        <f t="shared" si="47"/>
        <v>0.65799987552149486</v>
      </c>
      <c r="Q129" s="20">
        <f t="shared" si="48"/>
        <v>1</v>
      </c>
      <c r="R129" s="50">
        <f t="shared" si="49"/>
        <v>0.92659828120756116</v>
      </c>
    </row>
    <row r="130" spans="2:23" x14ac:dyDescent="0.25">
      <c r="B130" s="32"/>
      <c r="C130" s="33" t="s">
        <v>53</v>
      </c>
      <c r="D130" s="34">
        <v>53</v>
      </c>
      <c r="E130" s="35">
        <f>12.08+15.06</f>
        <v>27.14</v>
      </c>
      <c r="F130" s="27">
        <f t="shared" si="43"/>
        <v>1.3343231775967435E-2</v>
      </c>
      <c r="G130" s="28">
        <f>SUM(E131:E$132)/$E$133</f>
        <v>7.2129164843484986E-2</v>
      </c>
      <c r="J130" s="48">
        <f>SUM($F$107:F116)</f>
        <v>0.8311231076164769</v>
      </c>
      <c r="K130" s="48">
        <f t="shared" si="44"/>
        <v>0.1688768923835231</v>
      </c>
      <c r="L130" s="48">
        <f>SUM($F$121:F130)</f>
        <v>0.92787083515651514</v>
      </c>
      <c r="M130" s="48">
        <v>1</v>
      </c>
      <c r="N130" s="20">
        <f t="shared" si="45"/>
        <v>0.1042685294917354</v>
      </c>
      <c r="O130" s="49">
        <f t="shared" si="46"/>
        <v>0.89573147050826463</v>
      </c>
      <c r="P130" s="20">
        <f t="shared" si="47"/>
        <v>0.61742330771304876</v>
      </c>
      <c r="Q130" s="20">
        <f t="shared" si="48"/>
        <v>1</v>
      </c>
      <c r="R130" s="50">
        <f t="shared" si="49"/>
        <v>0.93539163710821227</v>
      </c>
    </row>
    <row r="131" spans="2:23" x14ac:dyDescent="0.25">
      <c r="B131" s="32"/>
      <c r="C131" s="33" t="s">
        <v>54</v>
      </c>
      <c r="D131" s="34">
        <v>38</v>
      </c>
      <c r="E131" s="35">
        <f>7.86+13.96</f>
        <v>21.82</v>
      </c>
      <c r="F131" s="27">
        <f t="shared" si="43"/>
        <v>1.0727683026956869E-2</v>
      </c>
      <c r="G131" s="28">
        <f>SUM(E132:E$132)/$E$133</f>
        <v>6.140148181652811E-2</v>
      </c>
      <c r="J131" s="48">
        <f>SUM($F$107:F117)</f>
        <v>0.85614151134629946</v>
      </c>
      <c r="K131" s="48">
        <f t="shared" si="44"/>
        <v>0.14385848865370054</v>
      </c>
      <c r="L131" s="48">
        <f>SUM($F$121:F131)</f>
        <v>0.93859851818347195</v>
      </c>
      <c r="M131" s="48">
        <v>1</v>
      </c>
      <c r="N131" s="20">
        <f t="shared" si="45"/>
        <v>8.7851200742098623E-2</v>
      </c>
      <c r="O131" s="49">
        <f t="shared" si="46"/>
        <v>0.91214879925790138</v>
      </c>
      <c r="P131" s="20">
        <f t="shared" si="47"/>
        <v>0.61067790690875423</v>
      </c>
      <c r="Q131" s="20">
        <f t="shared" si="48"/>
        <v>1</v>
      </c>
      <c r="R131" s="50">
        <f t="shared" si="49"/>
        <v>0.94399271208839808</v>
      </c>
      <c r="T131" s="48">
        <f>SUM($F$107:$F$117)</f>
        <v>0.85614151134629946</v>
      </c>
      <c r="U131" s="48">
        <f>SUM(F121:F131)</f>
        <v>0.93859851818347195</v>
      </c>
      <c r="V131" s="20">
        <v>0.7</v>
      </c>
      <c r="W131" s="20">
        <f>U131*(T131-V131)*(1-V131)*(U131-T131)/T131/(U131-V131)^2/(1-T131)</f>
        <v>0.51704760523965154</v>
      </c>
    </row>
    <row r="132" spans="2:23" x14ac:dyDescent="0.25">
      <c r="B132" s="37"/>
      <c r="C132" s="38">
        <v>-38</v>
      </c>
      <c r="D132" s="39"/>
      <c r="E132" s="40">
        <f>121.72+3.17</f>
        <v>124.89</v>
      </c>
      <c r="F132" s="27">
        <f t="shared" si="43"/>
        <v>6.140148181652811E-2</v>
      </c>
      <c r="G132" s="41"/>
    </row>
    <row r="133" spans="2:23" ht="15.75" thickBot="1" x14ac:dyDescent="0.3">
      <c r="B133" s="42"/>
      <c r="C133" s="43" t="s">
        <v>55</v>
      </c>
      <c r="D133" s="44"/>
      <c r="E133" s="45">
        <f>SUM(E121:E132)</f>
        <v>2033.9899999999998</v>
      </c>
      <c r="F133" s="27">
        <f t="shared" si="43"/>
        <v>1</v>
      </c>
      <c r="G133" s="45"/>
    </row>
    <row r="134" spans="2:23" ht="30.75" thickBot="1" x14ac:dyDescent="0.3">
      <c r="B134" s="21" t="s">
        <v>23</v>
      </c>
      <c r="C134" s="173" t="s">
        <v>24</v>
      </c>
      <c r="D134" s="174"/>
      <c r="E134" s="22" t="s">
        <v>25</v>
      </c>
      <c r="F134" s="23" t="s">
        <v>26</v>
      </c>
      <c r="G134" s="22" t="s">
        <v>27</v>
      </c>
    </row>
    <row r="135" spans="2:23" ht="38.25" thickTop="1" x14ac:dyDescent="0.25">
      <c r="B135" s="10" t="s">
        <v>17</v>
      </c>
      <c r="C135" s="24" t="s">
        <v>43</v>
      </c>
      <c r="D135" s="25">
        <v>1180</v>
      </c>
      <c r="E135" s="26">
        <f>115.79+79.41</f>
        <v>195.2</v>
      </c>
      <c r="F135" s="27">
        <f>E135/$E$147</f>
        <v>0.10698293863278872</v>
      </c>
      <c r="G135" s="28">
        <f>SUM(E136:E$146)/$E$147</f>
        <v>0.89301706136721115</v>
      </c>
    </row>
    <row r="136" spans="2:23" x14ac:dyDescent="0.25">
      <c r="B136" s="29" t="s">
        <v>44</v>
      </c>
      <c r="C136" s="25" t="s">
        <v>45</v>
      </c>
      <c r="D136" s="25">
        <v>600</v>
      </c>
      <c r="E136" s="26">
        <f>222.34+153.96</f>
        <v>376.3</v>
      </c>
      <c r="F136" s="27">
        <f t="shared" ref="F136:F147" si="50">E136/$E$147</f>
        <v>0.20623811376802459</v>
      </c>
      <c r="G136" s="28">
        <f>SUM(E137:E$146)/$E$147</f>
        <v>0.68677894759918667</v>
      </c>
    </row>
    <row r="137" spans="2:23" x14ac:dyDescent="0.25">
      <c r="B137" s="31">
        <f>FORECAST(0.8,D135:D136,G135:G136)</f>
        <v>918.40967313313877</v>
      </c>
      <c r="C137" s="25" t="s">
        <v>46</v>
      </c>
      <c r="D137" s="25">
        <v>425</v>
      </c>
      <c r="E137" s="26">
        <f>251.14+164.08</f>
        <v>415.22</v>
      </c>
      <c r="F137" s="27">
        <f t="shared" si="50"/>
        <v>0.22756893329460318</v>
      </c>
      <c r="G137" s="28">
        <f>SUM(E138:E$146)/$E$147</f>
        <v>0.45921001430458341</v>
      </c>
    </row>
    <row r="138" spans="2:23" x14ac:dyDescent="0.25">
      <c r="B138" s="32"/>
      <c r="C138" s="25" t="s">
        <v>47</v>
      </c>
      <c r="D138" s="25">
        <v>300</v>
      </c>
      <c r="E138" s="26">
        <f>283.39+192.57</f>
        <v>475.96</v>
      </c>
      <c r="F138" s="27">
        <f t="shared" si="50"/>
        <v>0.26085860385072807</v>
      </c>
      <c r="G138" s="28">
        <f>SUM(E139:E$146)/$E$147</f>
        <v>0.19835141045385535</v>
      </c>
      <c r="H138" s="30"/>
      <c r="J138" s="48">
        <f>J124</f>
        <v>0.45311583147517898</v>
      </c>
      <c r="K138" s="48">
        <f>1-J138</f>
        <v>0.54688416852482102</v>
      </c>
      <c r="L138" s="48">
        <f>SUM($F$135:F138)</f>
        <v>0.80164858954614449</v>
      </c>
      <c r="M138" s="48">
        <v>1</v>
      </c>
      <c r="N138" s="20">
        <f>+(L138-J138)/(L138+M138-1)</f>
        <v>0.43477000099044427</v>
      </c>
      <c r="O138" s="49">
        <f>1-N138</f>
        <v>0.56522999900955573</v>
      </c>
      <c r="P138" s="20">
        <f>+N138*M138/K138</f>
        <v>0.7949946734848875</v>
      </c>
      <c r="Q138" s="20">
        <f>+O138*L138/J138</f>
        <v>1</v>
      </c>
      <c r="R138" s="50">
        <f>+N138*M138+O138*L138</f>
        <v>0.88788583246562325</v>
      </c>
    </row>
    <row r="139" spans="2:23" x14ac:dyDescent="0.25">
      <c r="B139" s="32"/>
      <c r="C139" s="33" t="s">
        <v>48</v>
      </c>
      <c r="D139" s="34">
        <v>212</v>
      </c>
      <c r="E139" s="35">
        <f>100.38+75.51</f>
        <v>175.89</v>
      </c>
      <c r="F139" s="27">
        <f t="shared" si="50"/>
        <v>9.6399739119473402E-2</v>
      </c>
      <c r="G139" s="28">
        <f>SUM(E140:E$146)/$E$147</f>
        <v>0.10195167133438195</v>
      </c>
      <c r="H139" s="36">
        <f>SUM(F140:F146)*100</f>
        <v>10.195167133438195</v>
      </c>
      <c r="I139" s="30">
        <f>($I$194-H139)/($I$194*(100-H139))*10000</f>
        <v>83.161924603545032</v>
      </c>
      <c r="J139" s="48">
        <f t="shared" ref="J139:J145" si="51">J125</f>
        <v>0.58770310782985358</v>
      </c>
      <c r="K139" s="48">
        <f t="shared" ref="K139:K145" si="52">1-J139</f>
        <v>0.41229689217014642</v>
      </c>
      <c r="L139" s="48">
        <f>SUM($F$135:F139)</f>
        <v>0.8980483286656179</v>
      </c>
      <c r="M139" s="53">
        <v>0.87239999999999995</v>
      </c>
      <c r="N139" s="20">
        <f t="shared" ref="N139:N145" si="53">+(L139-J139)/(L139+M139-1)</f>
        <v>0.40281120652603453</v>
      </c>
      <c r="O139" s="49">
        <f t="shared" ref="O139:O145" si="54">1-N139</f>
        <v>0.59718879347396547</v>
      </c>
      <c r="P139" s="20">
        <f t="shared" ref="P139:P145" si="55">+N139*M139/K139</f>
        <v>0.85232875446534251</v>
      </c>
      <c r="Q139" s="20">
        <f t="shared" ref="Q139:Q145" si="56">+O139*L139/J139</f>
        <v>0.91254306933561002</v>
      </c>
      <c r="R139" s="50">
        <f t="shared" ref="R139:R145" si="57">+N139*M139+O139*L139</f>
        <v>0.88771689445044411</v>
      </c>
    </row>
    <row r="140" spans="2:23" x14ac:dyDescent="0.25">
      <c r="B140" s="32"/>
      <c r="C140" s="33" t="s">
        <v>49</v>
      </c>
      <c r="D140" s="34">
        <v>180</v>
      </c>
      <c r="E140" s="35">
        <f>11.48+10.04</f>
        <v>21.52</v>
      </c>
      <c r="F140" s="27">
        <f t="shared" si="50"/>
        <v>1.1794430529598429E-2</v>
      </c>
      <c r="G140" s="28">
        <f>SUM(E141:E$146)/$E$147</f>
        <v>9.0157240804783531E-2</v>
      </c>
      <c r="J140" s="48">
        <f t="shared" si="51"/>
        <v>0.62106453574591125</v>
      </c>
      <c r="K140" s="48">
        <f t="shared" si="52"/>
        <v>0.37893546425408875</v>
      </c>
      <c r="L140" s="48">
        <f>SUM($F$135:F140)</f>
        <v>0.90984275919521629</v>
      </c>
      <c r="M140" s="48">
        <v>1</v>
      </c>
      <c r="N140" s="20">
        <f t="shared" si="53"/>
        <v>0.31739355018304283</v>
      </c>
      <c r="O140" s="49">
        <f t="shared" si="54"/>
        <v>0.68260644981695717</v>
      </c>
      <c r="P140" s="20">
        <f t="shared" si="55"/>
        <v>0.8375926249283967</v>
      </c>
      <c r="Q140" s="20">
        <f t="shared" si="56"/>
        <v>1</v>
      </c>
      <c r="R140" s="50">
        <f t="shared" si="57"/>
        <v>0.93845808592895408</v>
      </c>
    </row>
    <row r="141" spans="2:23" x14ac:dyDescent="0.25">
      <c r="B141" s="32"/>
      <c r="C141" s="33" t="s">
        <v>50</v>
      </c>
      <c r="D141" s="34">
        <v>150</v>
      </c>
      <c r="E141" s="35">
        <f>10.58+8.58</f>
        <v>19.16</v>
      </c>
      <c r="F141" s="27">
        <f t="shared" si="50"/>
        <v>1.0500989263341353E-2</v>
      </c>
      <c r="G141" s="28">
        <f>SUM(E142:E$146)/$E$147</f>
        <v>7.9656251541442166E-2</v>
      </c>
      <c r="J141" s="48">
        <f t="shared" si="51"/>
        <v>0.66902092157343895</v>
      </c>
      <c r="K141" s="48">
        <f t="shared" si="52"/>
        <v>0.33097907842656105</v>
      </c>
      <c r="L141" s="48">
        <f>SUM($F$135:F141)</f>
        <v>0.9203437484585576</v>
      </c>
      <c r="M141" s="48">
        <v>1</v>
      </c>
      <c r="N141" s="20">
        <f t="shared" si="53"/>
        <v>0.27307495412018384</v>
      </c>
      <c r="O141" s="49">
        <f t="shared" si="54"/>
        <v>0.72692504587981621</v>
      </c>
      <c r="P141" s="20">
        <f t="shared" si="55"/>
        <v>0.82505201059339706</v>
      </c>
      <c r="Q141" s="20">
        <f t="shared" si="56"/>
        <v>1.0000000000000002</v>
      </c>
      <c r="R141" s="50">
        <f t="shared" si="57"/>
        <v>0.94209587569362285</v>
      </c>
    </row>
    <row r="142" spans="2:23" x14ac:dyDescent="0.25">
      <c r="B142" s="32"/>
      <c r="C142" s="33" t="s">
        <v>51</v>
      </c>
      <c r="D142" s="34">
        <v>106</v>
      </c>
      <c r="E142" s="51">
        <f>8.26+8.59</f>
        <v>16.850000000000001</v>
      </c>
      <c r="F142" s="27">
        <f t="shared" si="50"/>
        <v>9.2349514137422661E-3</v>
      </c>
      <c r="G142" s="28">
        <f>SUM(E143:E$146)/$E$147</f>
        <v>7.0421300127699912E-2</v>
      </c>
      <c r="J142" s="48">
        <f t="shared" si="51"/>
        <v>0.73612785524532975</v>
      </c>
      <c r="K142" s="48">
        <f t="shared" si="52"/>
        <v>0.26387214475467025</v>
      </c>
      <c r="L142" s="48">
        <f>SUM($F$135:F142)</f>
        <v>0.92957869987229991</v>
      </c>
      <c r="M142" s="48">
        <v>1</v>
      </c>
      <c r="N142" s="20">
        <f t="shared" si="53"/>
        <v>0.20810593514410916</v>
      </c>
      <c r="O142" s="49">
        <f t="shared" si="54"/>
        <v>0.79189406485589087</v>
      </c>
      <c r="P142" s="20">
        <f t="shared" si="55"/>
        <v>0.78866200650921836</v>
      </c>
      <c r="Q142" s="20">
        <f t="shared" si="56"/>
        <v>1</v>
      </c>
      <c r="R142" s="50">
        <f t="shared" si="57"/>
        <v>0.94423379038943889</v>
      </c>
    </row>
    <row r="143" spans="2:23" x14ac:dyDescent="0.25">
      <c r="B143" s="32"/>
      <c r="C143" s="33" t="s">
        <v>52</v>
      </c>
      <c r="D143" s="34">
        <v>75</v>
      </c>
      <c r="E143" s="35">
        <f>3.32+4.69</f>
        <v>8.01</v>
      </c>
      <c r="F143" s="27">
        <f t="shared" si="50"/>
        <v>4.3900273486098245E-3</v>
      </c>
      <c r="G143" s="28">
        <f>SUM(E144:E$146)/$E$147</f>
        <v>6.6031272779090086E-2</v>
      </c>
      <c r="J143" s="48">
        <f t="shared" si="51"/>
        <v>0.7853751693676585</v>
      </c>
      <c r="K143" s="48">
        <f t="shared" si="52"/>
        <v>0.2146248306323415</v>
      </c>
      <c r="L143" s="48">
        <f>SUM($F$135:F143)</f>
        <v>0.93396872722090973</v>
      </c>
      <c r="M143" s="48">
        <v>1</v>
      </c>
      <c r="N143" s="20">
        <f t="shared" si="53"/>
        <v>0.15909907208071292</v>
      </c>
      <c r="O143" s="49">
        <f t="shared" si="54"/>
        <v>0.84090092791928706</v>
      </c>
      <c r="P143" s="20">
        <f t="shared" si="55"/>
        <v>0.74128921435588313</v>
      </c>
      <c r="Q143" s="20">
        <f t="shared" si="56"/>
        <v>1</v>
      </c>
      <c r="R143" s="50">
        <f t="shared" si="57"/>
        <v>0.94447424144837144</v>
      </c>
    </row>
    <row r="144" spans="2:23" x14ac:dyDescent="0.25">
      <c r="B144" s="32"/>
      <c r="C144" s="33" t="s">
        <v>53</v>
      </c>
      <c r="D144" s="34">
        <v>53</v>
      </c>
      <c r="E144" s="35">
        <f>2.06+4.27</f>
        <v>6.33</v>
      </c>
      <c r="F144" s="27">
        <f t="shared" si="50"/>
        <v>3.4692725489013968E-3</v>
      </c>
      <c r="G144" s="28">
        <f>SUM(E145:E$146)/$E$147</f>
        <v>6.2562000230188694E-2</v>
      </c>
      <c r="J144" s="48">
        <f t="shared" si="51"/>
        <v>0.8311231076164769</v>
      </c>
      <c r="K144" s="48">
        <f t="shared" si="52"/>
        <v>0.1688768923835231</v>
      </c>
      <c r="L144" s="48">
        <f>SUM($F$135:F144)</f>
        <v>0.93743799976981113</v>
      </c>
      <c r="M144" s="48">
        <v>1</v>
      </c>
      <c r="N144" s="20">
        <f t="shared" si="53"/>
        <v>0.11341005184283118</v>
      </c>
      <c r="O144" s="49">
        <f t="shared" si="54"/>
        <v>0.88658994815716885</v>
      </c>
      <c r="P144" s="20">
        <f t="shared" si="55"/>
        <v>0.67155458773645882</v>
      </c>
      <c r="Q144" s="20">
        <f t="shared" si="56"/>
        <v>1</v>
      </c>
      <c r="R144" s="50">
        <f t="shared" si="57"/>
        <v>0.94453315945930805</v>
      </c>
    </row>
    <row r="145" spans="2:23" x14ac:dyDescent="0.25">
      <c r="B145" s="32"/>
      <c r="C145" s="33" t="s">
        <v>54</v>
      </c>
      <c r="D145" s="34">
        <v>38</v>
      </c>
      <c r="E145" s="35">
        <f>1.48+3.22</f>
        <v>4.7</v>
      </c>
      <c r="F145" s="27">
        <f t="shared" si="50"/>
        <v>2.5759211658509581E-3</v>
      </c>
      <c r="G145" s="28">
        <f>SUM(E146:E$146)/$E$147</f>
        <v>5.9986079064337727E-2</v>
      </c>
      <c r="J145" s="48">
        <f t="shared" si="51"/>
        <v>0.85614151134629946</v>
      </c>
      <c r="K145" s="48">
        <f t="shared" si="52"/>
        <v>0.14385848865370054</v>
      </c>
      <c r="L145" s="48">
        <f>SUM($F$135:F145)</f>
        <v>0.94001392093566205</v>
      </c>
      <c r="M145" s="48">
        <v>1</v>
      </c>
      <c r="N145" s="20">
        <f t="shared" si="53"/>
        <v>8.9224646275321631E-2</v>
      </c>
      <c r="O145" s="49">
        <f t="shared" si="54"/>
        <v>0.91077535372467833</v>
      </c>
      <c r="P145" s="20">
        <f t="shared" si="55"/>
        <v>0.62022510531238273</v>
      </c>
      <c r="Q145" s="20">
        <f t="shared" si="56"/>
        <v>1</v>
      </c>
      <c r="R145" s="50">
        <f t="shared" si="57"/>
        <v>0.94536615762162113</v>
      </c>
      <c r="T145" s="48">
        <f>SUM($F$107:$F$117)</f>
        <v>0.85614151134629946</v>
      </c>
      <c r="U145" s="48">
        <f>SUM(F135:F145)</f>
        <v>0.94001392093566205</v>
      </c>
      <c r="V145" s="20">
        <v>0.7</v>
      </c>
      <c r="W145" s="20">
        <f>U145*(T145-V145)*(1-V145)*(U145-T145)/T145/(U145-V145)^2/(1-T145)</f>
        <v>0.52052204450363382</v>
      </c>
    </row>
    <row r="146" spans="2:23" x14ac:dyDescent="0.25">
      <c r="B146" s="37"/>
      <c r="C146" s="38">
        <v>-38</v>
      </c>
      <c r="D146" s="39"/>
      <c r="E146" s="40">
        <f>37.78+0.82+70.85</f>
        <v>109.44999999999999</v>
      </c>
      <c r="F146" s="27">
        <f t="shared" si="50"/>
        <v>5.9986079064337727E-2</v>
      </c>
      <c r="G146" s="41"/>
      <c r="J146" s="35"/>
    </row>
    <row r="147" spans="2:23" ht="15.75" thickBot="1" x14ac:dyDescent="0.3">
      <c r="B147" s="42"/>
      <c r="C147" s="43" t="s">
        <v>55</v>
      </c>
      <c r="D147" s="44"/>
      <c r="E147" s="45">
        <f>SUM(E135:E146)</f>
        <v>1824.5900000000001</v>
      </c>
      <c r="F147" s="27">
        <f t="shared" si="50"/>
        <v>1</v>
      </c>
      <c r="G147" s="45"/>
      <c r="J147" s="35"/>
    </row>
    <row r="148" spans="2:23" ht="30.75" thickBot="1" x14ac:dyDescent="0.3">
      <c r="B148" s="21" t="s">
        <v>23</v>
      </c>
      <c r="C148" s="173" t="s">
        <v>24</v>
      </c>
      <c r="D148" s="174"/>
      <c r="E148" s="22" t="s">
        <v>25</v>
      </c>
      <c r="F148" s="23" t="s">
        <v>26</v>
      </c>
      <c r="G148" s="22" t="s">
        <v>27</v>
      </c>
      <c r="J148" s="35"/>
    </row>
    <row r="149" spans="2:23" ht="38.25" thickTop="1" x14ac:dyDescent="0.25">
      <c r="B149" s="10" t="s">
        <v>18</v>
      </c>
      <c r="C149" s="24" t="s">
        <v>43</v>
      </c>
      <c r="D149" s="25">
        <v>1180</v>
      </c>
      <c r="E149" s="26">
        <v>33.08</v>
      </c>
      <c r="F149" s="27">
        <f>E149/$E$161</f>
        <v>6.9739005776447274E-2</v>
      </c>
      <c r="G149" s="28">
        <f>SUM(E150:E$160)/$E$161</f>
        <v>0.93026099422355268</v>
      </c>
      <c r="J149" s="35"/>
    </row>
    <row r="150" spans="2:23" x14ac:dyDescent="0.25">
      <c r="B150" s="29" t="s">
        <v>44</v>
      </c>
      <c r="C150" s="25" t="s">
        <v>45</v>
      </c>
      <c r="D150" s="25">
        <v>600</v>
      </c>
      <c r="E150" s="26">
        <v>84.06</v>
      </c>
      <c r="F150" s="27">
        <f t="shared" ref="F150:F161" si="58">E150/$E$161</f>
        <v>0.17721465615381374</v>
      </c>
      <c r="G150" s="28">
        <f>SUM(E151:E$160)/$E$161</f>
        <v>0.75304633806973897</v>
      </c>
      <c r="J150" s="35"/>
    </row>
    <row r="151" spans="2:23" x14ac:dyDescent="0.25">
      <c r="B151" s="31">
        <f>FORECAST(0.8,D149:D150,G149:G150)</f>
        <v>753.67309064953633</v>
      </c>
      <c r="C151" s="25" t="s">
        <v>46</v>
      </c>
      <c r="D151" s="25">
        <v>425</v>
      </c>
      <c r="E151" s="26">
        <v>106.75</v>
      </c>
      <c r="F151" s="27">
        <f t="shared" si="58"/>
        <v>0.22504954252224144</v>
      </c>
      <c r="G151" s="28">
        <f>SUM(E152:E$160)/$E$161</f>
        <v>0.52799679554749768</v>
      </c>
      <c r="J151" s="35"/>
    </row>
    <row r="152" spans="2:23" x14ac:dyDescent="0.25">
      <c r="B152" s="32"/>
      <c r="C152" s="25" t="s">
        <v>47</v>
      </c>
      <c r="D152" s="25">
        <v>300</v>
      </c>
      <c r="E152" s="26">
        <v>154.22</v>
      </c>
      <c r="F152" s="27">
        <f t="shared" si="58"/>
        <v>0.32512543744993044</v>
      </c>
      <c r="G152" s="28">
        <f>SUM(E153:E$160)/$E$161</f>
        <v>0.20287135809756718</v>
      </c>
      <c r="H152" s="30"/>
      <c r="J152" s="75">
        <f>J138</f>
        <v>0.45311583147517898</v>
      </c>
      <c r="K152" s="48">
        <f>1-J152</f>
        <v>0.54688416852482102</v>
      </c>
      <c r="L152" s="48">
        <f>SUM($F$149:F152)</f>
        <v>0.79712864190243282</v>
      </c>
      <c r="M152" s="48">
        <v>1</v>
      </c>
      <c r="N152" s="20">
        <f>+(L152-J152)/(L152+M152-1)</f>
        <v>0.4315649850521372</v>
      </c>
      <c r="O152" s="49">
        <f>1-N152</f>
        <v>0.56843501494786275</v>
      </c>
      <c r="P152" s="20">
        <f>+N152*M152/K152</f>
        <v>0.78913417116507745</v>
      </c>
      <c r="Q152" s="20">
        <f>+O152*L152/J152</f>
        <v>0.99999999999999989</v>
      </c>
      <c r="R152" s="50">
        <f>+N152*M152+O152*L152</f>
        <v>0.88468081652731612</v>
      </c>
    </row>
    <row r="153" spans="2:23" x14ac:dyDescent="0.25">
      <c r="B153" s="32"/>
      <c r="C153" s="33" t="s">
        <v>48</v>
      </c>
      <c r="D153" s="34">
        <v>212</v>
      </c>
      <c r="E153" s="35">
        <v>66.02</v>
      </c>
      <c r="F153" s="27">
        <f t="shared" si="58"/>
        <v>0.13918286461188178</v>
      </c>
      <c r="G153" s="28">
        <f>SUM(E154:E$160)/$E$161</f>
        <v>6.368849348568538E-2</v>
      </c>
      <c r="H153" s="36">
        <f>SUM(F154:F160)*100</f>
        <v>6.3688493485685367</v>
      </c>
      <c r="I153" s="30">
        <f>($I$194-H153)/($I$194*(100-H153))*10000</f>
        <v>89.911225278014484</v>
      </c>
      <c r="J153" s="75">
        <f t="shared" ref="J153:J159" si="59">J139</f>
        <v>0.58770310782985358</v>
      </c>
      <c r="K153" s="48">
        <f t="shared" ref="K153:K159" si="60">1-J153</f>
        <v>0.41229689217014642</v>
      </c>
      <c r="L153" s="48">
        <f>SUM($F$149:F153)</f>
        <v>0.93631150651431461</v>
      </c>
      <c r="M153" s="53">
        <v>0.87239999999999995</v>
      </c>
      <c r="N153" s="20">
        <f t="shared" ref="N153:N159" si="61">+(L153-J153)/(L153+M153-1)</f>
        <v>0.43106645061478477</v>
      </c>
      <c r="O153" s="49">
        <f t="shared" ref="O153:O159" si="62">1-N153</f>
        <v>0.56893354938521523</v>
      </c>
      <c r="P153" s="20">
        <f t="shared" ref="P153:P159" si="63">+N153*M153/K153</f>
        <v>0.91211546499153584</v>
      </c>
      <c r="Q153" s="20">
        <f t="shared" ref="Q153:Q159" si="64">+O153*L153/J153</f>
        <v>0.90640839164258635</v>
      </c>
      <c r="R153" s="50">
        <f t="shared" ref="R153:R159" si="65">+N153*M153+O153*L153</f>
        <v>0.90876140024774532</v>
      </c>
    </row>
    <row r="154" spans="2:23" x14ac:dyDescent="0.25">
      <c r="B154" s="32"/>
      <c r="C154" s="33" t="s">
        <v>49</v>
      </c>
      <c r="D154" s="34">
        <v>180</v>
      </c>
      <c r="E154" s="35">
        <v>6.72</v>
      </c>
      <c r="F154" s="27">
        <f t="shared" si="58"/>
        <v>1.4167053168613232E-2</v>
      </c>
      <c r="G154" s="28">
        <f>SUM(E155:E$160)/$E$161</f>
        <v>4.9521440317072146E-2</v>
      </c>
      <c r="J154" s="75">
        <f t="shared" si="59"/>
        <v>0.62106453574591125</v>
      </c>
      <c r="K154" s="48">
        <f t="shared" si="60"/>
        <v>0.37893546425408875</v>
      </c>
      <c r="L154" s="48">
        <f>SUM($F$149:F154)</f>
        <v>0.95047855968292783</v>
      </c>
      <c r="M154" s="48">
        <v>1</v>
      </c>
      <c r="N154" s="20">
        <f t="shared" si="61"/>
        <v>0.34657701699963278</v>
      </c>
      <c r="O154" s="49">
        <f t="shared" si="62"/>
        <v>0.65342298300036727</v>
      </c>
      <c r="P154" s="20">
        <f t="shared" si="63"/>
        <v>0.91460697056119677</v>
      </c>
      <c r="Q154" s="20">
        <f t="shared" si="64"/>
        <v>1.0000000000000002</v>
      </c>
      <c r="R154" s="50">
        <f t="shared" si="65"/>
        <v>0.9676415527455442</v>
      </c>
    </row>
    <row r="155" spans="2:23" x14ac:dyDescent="0.25">
      <c r="B155" s="32"/>
      <c r="C155" s="33" t="s">
        <v>50</v>
      </c>
      <c r="D155" s="34">
        <v>150</v>
      </c>
      <c r="E155" s="35">
        <v>4.09</v>
      </c>
      <c r="F155" s="27">
        <f t="shared" si="58"/>
        <v>8.6225070624446603E-3</v>
      </c>
      <c r="G155" s="28">
        <f>SUM(E156:E$160)/$E$161</f>
        <v>4.0898933254627484E-2</v>
      </c>
      <c r="J155" s="75">
        <f t="shared" si="59"/>
        <v>0.66902092157343895</v>
      </c>
      <c r="K155" s="48">
        <f t="shared" si="60"/>
        <v>0.33097907842656105</v>
      </c>
      <c r="L155" s="48">
        <f>SUM($F$149:F155)</f>
        <v>0.95910106674537243</v>
      </c>
      <c r="M155" s="48">
        <v>1</v>
      </c>
      <c r="N155" s="20">
        <f t="shared" si="61"/>
        <v>0.30245002870896154</v>
      </c>
      <c r="O155" s="49">
        <f t="shared" si="62"/>
        <v>0.69754997129103846</v>
      </c>
      <c r="P155" s="20">
        <f t="shared" si="63"/>
        <v>0.91380406926859681</v>
      </c>
      <c r="Q155" s="20">
        <f t="shared" si="64"/>
        <v>1</v>
      </c>
      <c r="R155" s="50">
        <f t="shared" si="65"/>
        <v>0.97147095028240049</v>
      </c>
    </row>
    <row r="156" spans="2:23" x14ac:dyDescent="0.25">
      <c r="B156" s="32"/>
      <c r="C156" s="33" t="s">
        <v>51</v>
      </c>
      <c r="D156" s="34">
        <v>106</v>
      </c>
      <c r="E156" s="35">
        <v>3.43</v>
      </c>
      <c r="F156" s="27">
        <f t="shared" si="58"/>
        <v>7.2311000548130038E-3</v>
      </c>
      <c r="G156" s="28">
        <f>SUM(E157:E$160)/$E$161</f>
        <v>3.3667833199814486E-2</v>
      </c>
      <c r="J156" s="75">
        <f t="shared" si="59"/>
        <v>0.73612785524532975</v>
      </c>
      <c r="K156" s="48">
        <f t="shared" si="60"/>
        <v>0.26387214475467025</v>
      </c>
      <c r="L156" s="48">
        <f>SUM($F$149:F156)</f>
        <v>0.96633216680018541</v>
      </c>
      <c r="M156" s="48">
        <v>1</v>
      </c>
      <c r="N156" s="20">
        <f t="shared" si="61"/>
        <v>0.23822482523491992</v>
      </c>
      <c r="O156" s="49">
        <f t="shared" si="62"/>
        <v>0.76177517476508005</v>
      </c>
      <c r="P156" s="20">
        <f t="shared" si="63"/>
        <v>0.90280399038104076</v>
      </c>
      <c r="Q156" s="20">
        <f t="shared" si="64"/>
        <v>1</v>
      </c>
      <c r="R156" s="50">
        <f t="shared" si="65"/>
        <v>0.9743526804802497</v>
      </c>
    </row>
    <row r="157" spans="2:23" x14ac:dyDescent="0.25">
      <c r="B157" s="32"/>
      <c r="C157" s="33" t="s">
        <v>52</v>
      </c>
      <c r="D157" s="34">
        <v>75</v>
      </c>
      <c r="E157" s="35">
        <v>1.58</v>
      </c>
      <c r="F157" s="27">
        <f t="shared" si="58"/>
        <v>3.3309440485727541E-3</v>
      </c>
      <c r="G157" s="28">
        <f>SUM(E158:E$160)/$E$161</f>
        <v>3.033688915124173E-2</v>
      </c>
      <c r="J157" s="75">
        <f t="shared" si="59"/>
        <v>0.7853751693676585</v>
      </c>
      <c r="K157" s="48">
        <f t="shared" si="60"/>
        <v>0.2146248306323415</v>
      </c>
      <c r="L157" s="48">
        <f>SUM($F$149:F157)</f>
        <v>0.96966311084875811</v>
      </c>
      <c r="M157" s="48">
        <v>1</v>
      </c>
      <c r="N157" s="20">
        <f t="shared" si="61"/>
        <v>0.19005357574115622</v>
      </c>
      <c r="O157" s="49">
        <f t="shared" si="62"/>
        <v>0.80994642425884378</v>
      </c>
      <c r="P157" s="20">
        <f t="shared" si="63"/>
        <v>0.88551532076325057</v>
      </c>
      <c r="Q157" s="20">
        <f t="shared" si="64"/>
        <v>1</v>
      </c>
      <c r="R157" s="50">
        <f t="shared" si="65"/>
        <v>0.97542874510881472</v>
      </c>
    </row>
    <row r="158" spans="2:23" x14ac:dyDescent="0.25">
      <c r="B158" s="32"/>
      <c r="C158" s="33" t="s">
        <v>53</v>
      </c>
      <c r="D158" s="34">
        <v>53</v>
      </c>
      <c r="E158" s="35">
        <v>1.33</v>
      </c>
      <c r="F158" s="27">
        <f t="shared" si="58"/>
        <v>2.8038959396213688E-3</v>
      </c>
      <c r="G158" s="28">
        <f>SUM(E159:E$160)/$E$161</f>
        <v>2.7532993211620359E-2</v>
      </c>
      <c r="J158" s="75">
        <f t="shared" si="59"/>
        <v>0.8311231076164769</v>
      </c>
      <c r="K158" s="48">
        <f t="shared" si="60"/>
        <v>0.1688768923835231</v>
      </c>
      <c r="L158" s="48">
        <f>SUM($F$149:F158)</f>
        <v>0.9724670067883795</v>
      </c>
      <c r="M158" s="48">
        <v>1</v>
      </c>
      <c r="N158" s="20">
        <f t="shared" si="61"/>
        <v>0.14534570138137418</v>
      </c>
      <c r="O158" s="49">
        <f t="shared" si="62"/>
        <v>0.85465429861862585</v>
      </c>
      <c r="P158" s="20">
        <f t="shared" si="63"/>
        <v>0.8606606820505136</v>
      </c>
      <c r="Q158" s="20">
        <f t="shared" si="64"/>
        <v>1</v>
      </c>
      <c r="R158" s="50">
        <f t="shared" si="65"/>
        <v>0.97646880899785105</v>
      </c>
    </row>
    <row r="159" spans="2:23" x14ac:dyDescent="0.25">
      <c r="B159" s="32"/>
      <c r="C159" s="33" t="s">
        <v>54</v>
      </c>
      <c r="D159" s="34">
        <v>38</v>
      </c>
      <c r="E159" s="35">
        <v>1.18</v>
      </c>
      <c r="F159" s="27">
        <f t="shared" si="58"/>
        <v>2.4876670742505374E-3</v>
      </c>
      <c r="G159" s="28">
        <f>SUM(E160:E$160)/$E$161</f>
        <v>2.5045326137369824E-2</v>
      </c>
      <c r="J159" s="75">
        <f t="shared" si="59"/>
        <v>0.85614151134629946</v>
      </c>
      <c r="K159" s="48">
        <f t="shared" si="60"/>
        <v>0.14385848865370054</v>
      </c>
      <c r="L159" s="48">
        <f>SUM($F$149:F159)</f>
        <v>0.97495467386263002</v>
      </c>
      <c r="M159" s="48">
        <v>1</v>
      </c>
      <c r="N159" s="20">
        <f t="shared" si="61"/>
        <v>0.12186531918002907</v>
      </c>
      <c r="O159" s="49">
        <f t="shared" si="62"/>
        <v>0.87813468081997093</v>
      </c>
      <c r="P159" s="20">
        <f t="shared" si="63"/>
        <v>0.84711941798155599</v>
      </c>
      <c r="Q159" s="20">
        <f t="shared" si="64"/>
        <v>1</v>
      </c>
      <c r="R159" s="50">
        <f t="shared" si="65"/>
        <v>0.97800683052632853</v>
      </c>
      <c r="T159" s="48">
        <f>SUM($F$107:$F$117)</f>
        <v>0.85614151134629946</v>
      </c>
      <c r="U159" s="48">
        <f>SUM(F149:F159)</f>
        <v>0.97495467386263002</v>
      </c>
      <c r="V159" s="20">
        <v>0.7</v>
      </c>
      <c r="W159" s="20">
        <f>U159*(T159-V159)*(1-V159)*(U159-T159)/T159/(U159-V159)^2/(1-T159)</f>
        <v>0.58275412124760317</v>
      </c>
    </row>
    <row r="160" spans="2:23" x14ac:dyDescent="0.25">
      <c r="B160" s="37"/>
      <c r="C160" s="38">
        <v>-38</v>
      </c>
      <c r="D160" s="39"/>
      <c r="E160" s="40">
        <v>11.88</v>
      </c>
      <c r="F160" s="27">
        <f t="shared" si="58"/>
        <v>2.5045326137369824E-2</v>
      </c>
      <c r="G160" s="41"/>
    </row>
    <row r="161" spans="2:23" ht="15.75" thickBot="1" x14ac:dyDescent="0.3">
      <c r="B161" s="42"/>
      <c r="C161" s="43" t="s">
        <v>55</v>
      </c>
      <c r="D161" s="44"/>
      <c r="E161" s="45">
        <f>SUM(E149:E160)</f>
        <v>474.34</v>
      </c>
      <c r="F161" s="27">
        <f t="shared" si="58"/>
        <v>1</v>
      </c>
      <c r="G161" s="45"/>
    </row>
    <row r="162" spans="2:23" ht="30.75" thickBot="1" x14ac:dyDescent="0.3">
      <c r="B162" s="21" t="s">
        <v>23</v>
      </c>
      <c r="C162" s="173" t="s">
        <v>24</v>
      </c>
      <c r="D162" s="174"/>
      <c r="E162" s="22" t="s">
        <v>25</v>
      </c>
      <c r="F162" s="23" t="s">
        <v>26</v>
      </c>
      <c r="G162" s="22" t="s">
        <v>27</v>
      </c>
    </row>
    <row r="163" spans="2:23" ht="38.25" thickTop="1" x14ac:dyDescent="0.25">
      <c r="B163" s="10" t="s">
        <v>19</v>
      </c>
      <c r="C163" s="24" t="s">
        <v>43</v>
      </c>
      <c r="D163" s="25">
        <v>1180</v>
      </c>
      <c r="E163" s="26">
        <f>107.82+86.63</f>
        <v>194.45</v>
      </c>
      <c r="F163" s="27">
        <f>E163/$E$175</f>
        <v>9.1682343899552557E-2</v>
      </c>
      <c r="G163" s="28">
        <f>SUM(E164:E$174)/$E$175</f>
        <v>0.90831765610044757</v>
      </c>
    </row>
    <row r="164" spans="2:23" x14ac:dyDescent="0.25">
      <c r="B164" s="29" t="s">
        <v>44</v>
      </c>
      <c r="C164" s="25" t="s">
        <v>45</v>
      </c>
      <c r="D164" s="25">
        <v>600</v>
      </c>
      <c r="E164" s="26">
        <f>213.26+174.6</f>
        <v>387.86</v>
      </c>
      <c r="F164" s="27">
        <f t="shared" ref="F164:F175" si="66">E164/$E$175</f>
        <v>0.18287433224417823</v>
      </c>
      <c r="G164" s="28">
        <f>SUM(E165:E$174)/$E$175</f>
        <v>0.72544332385626931</v>
      </c>
    </row>
    <row r="165" spans="2:23" x14ac:dyDescent="0.25">
      <c r="B165" s="31">
        <f>FORECAST(0.8,D163:D164,G163:G164)</f>
        <v>836.46222863919957</v>
      </c>
      <c r="C165" s="25" t="s">
        <v>46</v>
      </c>
      <c r="D165" s="25">
        <v>425</v>
      </c>
      <c r="E165" s="26">
        <f>246.26+185.44</f>
        <v>431.7</v>
      </c>
      <c r="F165" s="27">
        <f t="shared" si="66"/>
        <v>0.20354470486725038</v>
      </c>
      <c r="G165" s="28">
        <f>SUM(E166:E$174)/$E$175</f>
        <v>0.5218986189890189</v>
      </c>
    </row>
    <row r="166" spans="2:23" x14ac:dyDescent="0.25">
      <c r="B166" s="32"/>
      <c r="C166" s="25" t="s">
        <v>47</v>
      </c>
      <c r="D166" s="25">
        <v>300</v>
      </c>
      <c r="E166" s="26">
        <f>304.24+224.72</f>
        <v>528.96</v>
      </c>
      <c r="F166" s="27">
        <f t="shared" si="66"/>
        <v>0.24940237916743288</v>
      </c>
      <c r="G166" s="28">
        <f>SUM(E167:E$174)/$E$175</f>
        <v>0.27249623982158605</v>
      </c>
      <c r="H166" s="30"/>
      <c r="J166" s="49">
        <f>J152</f>
        <v>0.45311583147517898</v>
      </c>
      <c r="K166" s="48">
        <f>1-J166</f>
        <v>0.54688416852482102</v>
      </c>
      <c r="L166" s="48">
        <f>SUM($F$163:F166)</f>
        <v>0.72750376017841412</v>
      </c>
      <c r="M166" s="48">
        <v>1</v>
      </c>
      <c r="N166" s="20">
        <f>+(L166-J166)/(L166+M166-1)</f>
        <v>0.37716358831732205</v>
      </c>
      <c r="O166" s="49">
        <f>1-N166</f>
        <v>0.62283641168267789</v>
      </c>
      <c r="P166" s="20">
        <f>+N166*M166/K166</f>
        <v>0.68965899915276851</v>
      </c>
      <c r="Q166" s="20">
        <f>+O166*L166/J166</f>
        <v>0.99999999999999989</v>
      </c>
      <c r="R166" s="50">
        <f>+N166*M166+O166*L166</f>
        <v>0.83027941979250097</v>
      </c>
    </row>
    <row r="167" spans="2:23" x14ac:dyDescent="0.25">
      <c r="B167" s="32"/>
      <c r="C167" s="33" t="s">
        <v>48</v>
      </c>
      <c r="D167" s="34">
        <v>212</v>
      </c>
      <c r="E167" s="35">
        <f>130.46+103.26</f>
        <v>233.72000000000003</v>
      </c>
      <c r="F167" s="27">
        <f t="shared" si="66"/>
        <v>0.11019798105530175</v>
      </c>
      <c r="G167" s="28">
        <f>SUM(E168:E$174)/$E$175</f>
        <v>0.16229825876628431</v>
      </c>
      <c r="H167" s="36">
        <f>SUM(F168:F174)*100</f>
        <v>16.229825876628428</v>
      </c>
      <c r="I167" s="30">
        <f>($I$194-H167)/($I$194*(100-H167))*10000</f>
        <v>71.264268876221479</v>
      </c>
      <c r="J167" s="49">
        <f t="shared" ref="J167:J173" si="67">J153</f>
        <v>0.58770310782985358</v>
      </c>
      <c r="K167" s="48">
        <f t="shared" ref="K167:K173" si="68">1-J167</f>
        <v>0.41229689217014642</v>
      </c>
      <c r="L167" s="48">
        <f>SUM($F$163:F167)</f>
        <v>0.83770174123371588</v>
      </c>
      <c r="M167" s="53">
        <v>0.87239999999999995</v>
      </c>
      <c r="N167" s="20">
        <f t="shared" ref="N167:N173" si="69">+(L167-J167)/(L167+M167-1)</f>
        <v>0.35206030190761106</v>
      </c>
      <c r="O167" s="49">
        <f t="shared" ref="O167:O173" si="70">1-N167</f>
        <v>0.64793969809238894</v>
      </c>
      <c r="P167" s="20">
        <f t="shared" ref="P167:P173" si="71">+N167*M167/K167</f>
        <v>0.74494232970703689</v>
      </c>
      <c r="Q167" s="20">
        <f t="shared" ref="Q167:Q173" si="72">+O167*L167/J167</f>
        <v>0.92356192450760899</v>
      </c>
      <c r="R167" s="50">
        <f t="shared" ref="R167:R173" si="73">+N167*M167+O167*L167</f>
        <v>0.84991762069064225</v>
      </c>
    </row>
    <row r="168" spans="2:23" x14ac:dyDescent="0.25">
      <c r="B168" s="32"/>
      <c r="C168" s="33" t="s">
        <v>49</v>
      </c>
      <c r="D168" s="34">
        <v>180</v>
      </c>
      <c r="E168" s="35">
        <f>20.5+17.6</f>
        <v>38.1</v>
      </c>
      <c r="F168" s="27">
        <f t="shared" si="66"/>
        <v>1.7963987156456428E-2</v>
      </c>
      <c r="G168" s="28">
        <f>SUM(E169:E$174)/$E$175</f>
        <v>0.14433427160982787</v>
      </c>
      <c r="J168" s="49">
        <f t="shared" si="67"/>
        <v>0.62106453574591125</v>
      </c>
      <c r="K168" s="48">
        <f t="shared" si="68"/>
        <v>0.37893546425408875</v>
      </c>
      <c r="L168" s="48">
        <f>SUM($F$163:F168)</f>
        <v>0.8556657283901723</v>
      </c>
      <c r="M168" s="48">
        <v>1</v>
      </c>
      <c r="N168" s="20">
        <f t="shared" si="69"/>
        <v>0.2741738798930673</v>
      </c>
      <c r="O168" s="49">
        <f t="shared" si="70"/>
        <v>0.7258261201069327</v>
      </c>
      <c r="P168" s="20">
        <f t="shared" si="71"/>
        <v>0.72353713430534083</v>
      </c>
      <c r="Q168" s="20">
        <f t="shared" si="72"/>
        <v>1</v>
      </c>
      <c r="R168" s="50">
        <f t="shared" si="73"/>
        <v>0.89523841563897855</v>
      </c>
    </row>
    <row r="169" spans="2:23" x14ac:dyDescent="0.25">
      <c r="B169" s="32"/>
      <c r="C169" s="33" t="s">
        <v>50</v>
      </c>
      <c r="D169" s="34">
        <v>150</v>
      </c>
      <c r="E169" s="51">
        <f>19.7+20.21</f>
        <v>39.909999999999997</v>
      </c>
      <c r="F169" s="27">
        <f t="shared" si="66"/>
        <v>1.8817394420319579E-2</v>
      </c>
      <c r="G169" s="28">
        <f>SUM(E170:E$174)/$E$175</f>
        <v>0.12551687718950827</v>
      </c>
      <c r="J169" s="49">
        <f t="shared" si="67"/>
        <v>0.66902092157343895</v>
      </c>
      <c r="K169" s="48">
        <f t="shared" si="68"/>
        <v>0.33097907842656105</v>
      </c>
      <c r="L169" s="48">
        <f>SUM($F$163:F169)</f>
        <v>0.8744831228104919</v>
      </c>
      <c r="M169" s="48">
        <v>1</v>
      </c>
      <c r="N169" s="20">
        <f t="shared" si="69"/>
        <v>0.23495273479575018</v>
      </c>
      <c r="O169" s="49">
        <f t="shared" si="70"/>
        <v>0.76504726520424982</v>
      </c>
      <c r="P169" s="20">
        <f t="shared" si="71"/>
        <v>0.70987186233247801</v>
      </c>
      <c r="Q169" s="20">
        <f t="shared" si="72"/>
        <v>1</v>
      </c>
      <c r="R169" s="50">
        <f t="shared" si="73"/>
        <v>0.90397365636918914</v>
      </c>
    </row>
    <row r="170" spans="2:23" x14ac:dyDescent="0.25">
      <c r="B170" s="32"/>
      <c r="C170" s="33" t="s">
        <v>51</v>
      </c>
      <c r="D170" s="34">
        <v>106</v>
      </c>
      <c r="E170" s="35">
        <f>27.04+25.86</f>
        <v>52.9</v>
      </c>
      <c r="F170" s="27">
        <f t="shared" si="66"/>
        <v>2.494212389964685E-2</v>
      </c>
      <c r="G170" s="28">
        <f>SUM(E171:E$174)/$E$175</f>
        <v>0.10057475328986143</v>
      </c>
      <c r="J170" s="49">
        <f t="shared" si="67"/>
        <v>0.73612785524532975</v>
      </c>
      <c r="K170" s="48">
        <f t="shared" si="68"/>
        <v>0.26387214475467025</v>
      </c>
      <c r="L170" s="48">
        <f>SUM($F$163:F170)</f>
        <v>0.89942524671013879</v>
      </c>
      <c r="M170" s="48">
        <v>1</v>
      </c>
      <c r="N170" s="20">
        <f t="shared" si="69"/>
        <v>0.18155749136696792</v>
      </c>
      <c r="O170" s="49">
        <f t="shared" si="70"/>
        <v>0.81844250863303203</v>
      </c>
      <c r="P170" s="20">
        <f t="shared" si="71"/>
        <v>0.688050993543738</v>
      </c>
      <c r="Q170" s="20">
        <f t="shared" si="72"/>
        <v>1</v>
      </c>
      <c r="R170" s="50">
        <f t="shared" si="73"/>
        <v>0.91768534661229761</v>
      </c>
    </row>
    <row r="171" spans="2:23" x14ac:dyDescent="0.25">
      <c r="B171" s="32"/>
      <c r="C171" s="33" t="s">
        <v>52</v>
      </c>
      <c r="D171" s="34">
        <v>75</v>
      </c>
      <c r="E171" s="35">
        <f>15.96+21.5</f>
        <v>37.46</v>
      </c>
      <c r="F171" s="27">
        <f t="shared" si="66"/>
        <v>1.7662229891886032E-2</v>
      </c>
      <c r="G171" s="28">
        <f>SUM(E172:E$174)/$E$175</f>
        <v>8.2912523397975404E-2</v>
      </c>
      <c r="J171" s="49">
        <f t="shared" si="67"/>
        <v>0.7853751693676585</v>
      </c>
      <c r="K171" s="48">
        <f t="shared" si="68"/>
        <v>0.2146248306323415</v>
      </c>
      <c r="L171" s="48">
        <f>SUM($F$163:F171)</f>
        <v>0.91708747660202483</v>
      </c>
      <c r="M171" s="48">
        <v>1</v>
      </c>
      <c r="N171" s="20">
        <f t="shared" si="69"/>
        <v>0.14362022227408913</v>
      </c>
      <c r="O171" s="49">
        <f t="shared" si="70"/>
        <v>0.8563797777259109</v>
      </c>
      <c r="P171" s="20">
        <f t="shared" si="71"/>
        <v>0.66916871571171888</v>
      </c>
      <c r="Q171" s="20">
        <f t="shared" si="72"/>
        <v>1</v>
      </c>
      <c r="R171" s="50">
        <f t="shared" si="73"/>
        <v>0.9289953916417476</v>
      </c>
    </row>
    <row r="172" spans="2:23" x14ac:dyDescent="0.25">
      <c r="B172" s="32"/>
      <c r="C172" s="33" t="s">
        <v>53</v>
      </c>
      <c r="D172" s="34">
        <v>53</v>
      </c>
      <c r="E172" s="35">
        <f>12.95+13.33</f>
        <v>26.28</v>
      </c>
      <c r="F172" s="27">
        <f t="shared" si="66"/>
        <v>1.2390907676421915E-2</v>
      </c>
      <c r="G172" s="28">
        <f>SUM(E173:E$174)/$E$175</f>
        <v>7.0521615721553479E-2</v>
      </c>
      <c r="J172" s="49">
        <f t="shared" si="67"/>
        <v>0.8311231076164769</v>
      </c>
      <c r="K172" s="48">
        <f t="shared" si="68"/>
        <v>0.1688768923835231</v>
      </c>
      <c r="L172" s="48">
        <f>SUM($F$163:F172)</f>
        <v>0.92947838427844676</v>
      </c>
      <c r="M172" s="48">
        <v>1</v>
      </c>
      <c r="N172" s="20">
        <f t="shared" si="69"/>
        <v>0.10581771273607719</v>
      </c>
      <c r="O172" s="49">
        <f t="shared" si="70"/>
        <v>0.89418228726392279</v>
      </c>
      <c r="P172" s="20">
        <f t="shared" si="71"/>
        <v>0.62659675484650001</v>
      </c>
      <c r="Q172" s="20">
        <f t="shared" si="72"/>
        <v>1</v>
      </c>
      <c r="R172" s="50">
        <f t="shared" si="73"/>
        <v>0.9369408203525541</v>
      </c>
    </row>
    <row r="173" spans="2:23" x14ac:dyDescent="0.25">
      <c r="B173" s="32"/>
      <c r="C173" s="33" t="s">
        <v>54</v>
      </c>
      <c r="D173" s="34">
        <v>38</v>
      </c>
      <c r="E173" s="40">
        <f>8.72+15.59</f>
        <v>24.310000000000002</v>
      </c>
      <c r="F173" s="27">
        <f t="shared" si="66"/>
        <v>1.1462061096416162E-2</v>
      </c>
      <c r="G173" s="28">
        <f>SUM(E174:E$174)/$E$175</f>
        <v>5.9059554625137324E-2</v>
      </c>
      <c r="J173" s="49">
        <f t="shared" si="67"/>
        <v>0.85614151134629946</v>
      </c>
      <c r="K173" s="48">
        <f t="shared" si="68"/>
        <v>0.14385848865370054</v>
      </c>
      <c r="L173" s="48">
        <f>SUM($F$163:F173)</f>
        <v>0.94094044537486288</v>
      </c>
      <c r="M173" s="48">
        <v>1</v>
      </c>
      <c r="N173" s="20">
        <f t="shared" si="69"/>
        <v>9.0121467777676656E-2</v>
      </c>
      <c r="O173" s="49">
        <f t="shared" si="70"/>
        <v>0.90987853222232329</v>
      </c>
      <c r="P173" s="20">
        <f t="shared" si="71"/>
        <v>0.62645915872659497</v>
      </c>
      <c r="Q173" s="20">
        <f t="shared" si="72"/>
        <v>0.99999999999999989</v>
      </c>
      <c r="R173" s="50">
        <f t="shared" si="73"/>
        <v>0.94626297912397606</v>
      </c>
      <c r="T173" s="48">
        <f>SUM($F$107:$F$117)</f>
        <v>0.85614151134629946</v>
      </c>
      <c r="U173" s="48">
        <f>SUM(F163:F173)</f>
        <v>0.94094044537486288</v>
      </c>
      <c r="V173" s="20">
        <v>0.7</v>
      </c>
      <c r="W173" s="20">
        <f>U173*(T173-V173)*(1-V173)*(U173-T173)/T173/(U173-V173)^2/(1-T173)</f>
        <v>0.52274717809876348</v>
      </c>
    </row>
    <row r="174" spans="2:23" x14ac:dyDescent="0.25">
      <c r="B174" s="37"/>
      <c r="C174" s="38">
        <v>-38</v>
      </c>
      <c r="D174" s="39"/>
      <c r="E174" s="40">
        <f>120.63+4.63</f>
        <v>125.25999999999999</v>
      </c>
      <c r="F174" s="27">
        <f t="shared" si="66"/>
        <v>5.9059554625137324E-2</v>
      </c>
      <c r="G174" s="41"/>
    </row>
    <row r="175" spans="2:23" ht="15.75" thickBot="1" x14ac:dyDescent="0.3">
      <c r="B175" s="42"/>
      <c r="C175" s="43" t="s">
        <v>55</v>
      </c>
      <c r="D175" s="44"/>
      <c r="E175" s="45">
        <f>SUM(E163:E174)</f>
        <v>2120.91</v>
      </c>
      <c r="F175" s="27">
        <f t="shared" si="66"/>
        <v>1</v>
      </c>
      <c r="G175" s="45"/>
    </row>
    <row r="176" spans="2:23" ht="30.75" thickBot="1" x14ac:dyDescent="0.3">
      <c r="B176" s="21" t="s">
        <v>23</v>
      </c>
      <c r="C176" s="173" t="s">
        <v>24</v>
      </c>
      <c r="D176" s="174"/>
      <c r="E176" s="22" t="s">
        <v>25</v>
      </c>
      <c r="F176" s="23" t="s">
        <v>26</v>
      </c>
      <c r="G176" s="22" t="s">
        <v>27</v>
      </c>
    </row>
    <row r="177" spans="2:23" ht="38.25" thickTop="1" x14ac:dyDescent="0.25">
      <c r="B177" s="10" t="s">
        <v>20</v>
      </c>
      <c r="C177" s="24" t="s">
        <v>43</v>
      </c>
      <c r="D177" s="25">
        <v>1180</v>
      </c>
      <c r="E177" s="26">
        <f>139.08+189.04</f>
        <v>328.12</v>
      </c>
      <c r="F177" s="27">
        <f>E177/$E$189</f>
        <v>0.13393527740587141</v>
      </c>
      <c r="G177" s="28">
        <f>SUM(E178:E$188)/$E$189</f>
        <v>0.86606472259412848</v>
      </c>
    </row>
    <row r="178" spans="2:23" x14ac:dyDescent="0.25">
      <c r="B178" s="29" t="s">
        <v>44</v>
      </c>
      <c r="C178" s="25" t="s">
        <v>45</v>
      </c>
      <c r="D178" s="25">
        <v>600</v>
      </c>
      <c r="E178" s="26">
        <f>234.99+284.94</f>
        <v>519.93000000000006</v>
      </c>
      <c r="F178" s="27">
        <f t="shared" ref="F178:F189" si="74">E178/$E$189</f>
        <v>0.21223018646115666</v>
      </c>
      <c r="G178" s="28">
        <f>SUM(E179:E$188)/$E$189</f>
        <v>0.65383453613297182</v>
      </c>
    </row>
    <row r="179" spans="2:23" x14ac:dyDescent="0.25">
      <c r="B179" s="31">
        <f>FORECAST(0.8,D177:D178,G177:G178)</f>
        <v>999.45292635547139</v>
      </c>
      <c r="C179" s="25" t="s">
        <v>46</v>
      </c>
      <c r="D179" s="25">
        <v>425</v>
      </c>
      <c r="E179" s="26">
        <f>229.22+274.23</f>
        <v>503.45000000000005</v>
      </c>
      <c r="F179" s="27">
        <f t="shared" si="74"/>
        <v>0.20550321653659015</v>
      </c>
      <c r="G179" s="28">
        <f>SUM(E180:E$188)/$E$189</f>
        <v>0.44833131959638173</v>
      </c>
    </row>
    <row r="180" spans="2:23" x14ac:dyDescent="0.25">
      <c r="B180" s="32"/>
      <c r="C180" s="25" t="s">
        <v>47</v>
      </c>
      <c r="D180" s="25">
        <v>300</v>
      </c>
      <c r="E180" s="26">
        <f>259.16+303.43</f>
        <v>562.59</v>
      </c>
      <c r="F180" s="27">
        <f t="shared" si="74"/>
        <v>0.2296435685595794</v>
      </c>
      <c r="G180" s="28">
        <f>SUM(E181:E$188)/$E$189</f>
        <v>0.21868775103680238</v>
      </c>
      <c r="H180" s="30"/>
      <c r="J180" s="49">
        <f>+J166</f>
        <v>0.45311583147517898</v>
      </c>
      <c r="K180" s="48">
        <f>1-J180</f>
        <v>0.54688416852482102</v>
      </c>
      <c r="L180" s="48">
        <f>SUM($F$177:F180)</f>
        <v>0.78131224896319762</v>
      </c>
      <c r="M180" s="48">
        <v>1</v>
      </c>
      <c r="N180" s="20">
        <f>+(L180-J180)/(L180+M180-1)</f>
        <v>0.42005794472509</v>
      </c>
      <c r="O180" s="49">
        <f>1-N180</f>
        <v>0.57994205527490994</v>
      </c>
      <c r="P180" s="20">
        <f>+N180*M180/K180</f>
        <v>0.76809307875589961</v>
      </c>
      <c r="Q180" s="20">
        <f>+O180*L180/J180</f>
        <v>1</v>
      </c>
      <c r="R180" s="50">
        <f>+N180*M180+O180*L180</f>
        <v>0.87317377620026893</v>
      </c>
    </row>
    <row r="181" spans="2:23" x14ac:dyDescent="0.25">
      <c r="B181" s="32"/>
      <c r="C181" s="33" t="s">
        <v>48</v>
      </c>
      <c r="D181" s="34">
        <v>212</v>
      </c>
      <c r="E181" s="35">
        <f>111.02+122.58</f>
        <v>233.6</v>
      </c>
      <c r="F181" s="27">
        <f t="shared" si="74"/>
        <v>9.5353165921039734E-2</v>
      </c>
      <c r="G181" s="28">
        <f>SUM(E182:E$188)/$E$189</f>
        <v>0.12333458511576265</v>
      </c>
      <c r="H181" s="36">
        <f>SUM(F182:F188)*100</f>
        <v>12.333458511576264</v>
      </c>
      <c r="I181" s="30">
        <f>($H$181-H181)/($I$194*(100-H181))*10000</f>
        <v>0</v>
      </c>
      <c r="J181" s="49">
        <f t="shared" ref="J181:J187" si="75">+J167</f>
        <v>0.58770310782985358</v>
      </c>
      <c r="K181" s="48">
        <f t="shared" ref="K181:K187" si="76">1-J181</f>
        <v>0.41229689217014642</v>
      </c>
      <c r="L181" s="48">
        <f>SUM($F$177:F181)</f>
        <v>0.87666541488423733</v>
      </c>
      <c r="M181" s="53">
        <v>0.87239999999999995</v>
      </c>
      <c r="N181" s="20">
        <f t="shared" ref="N181:N187" si="77">+(L181-J181)/(L181+M181-1)</f>
        <v>0.3857637815237282</v>
      </c>
      <c r="O181" s="49">
        <f t="shared" ref="O181:O187" si="78">1-N181</f>
        <v>0.61423621847627174</v>
      </c>
      <c r="P181" s="20">
        <f t="shared" ref="P181:P187" si="79">+N181*M181/K181</f>
        <v>0.81625723936433947</v>
      </c>
      <c r="Q181" s="20">
        <f t="shared" ref="Q181:Q187" si="80">+O181*L181/J181</f>
        <v>0.91624434537331301</v>
      </c>
      <c r="R181" s="50">
        <f t="shared" ref="R181:R187" si="81">+N181*M181+O181*L181</f>
        <v>0.87501997230872619</v>
      </c>
    </row>
    <row r="182" spans="2:23" x14ac:dyDescent="0.25">
      <c r="B182" s="32"/>
      <c r="C182" s="33" t="s">
        <v>49</v>
      </c>
      <c r="D182" s="34">
        <v>180</v>
      </c>
      <c r="E182" s="35">
        <f>19.67+19.19</f>
        <v>38.86</v>
      </c>
      <c r="F182" s="27">
        <f t="shared" si="74"/>
        <v>1.5862260392515429E-2</v>
      </c>
      <c r="G182" s="28">
        <f>SUM(E183:E$188)/$E$189</f>
        <v>0.10747232472324721</v>
      </c>
      <c r="J182" s="49">
        <f t="shared" si="75"/>
        <v>0.62106453574591125</v>
      </c>
      <c r="K182" s="48">
        <f t="shared" si="76"/>
        <v>0.37893546425408875</v>
      </c>
      <c r="L182" s="48">
        <f>SUM($F$177:F182)</f>
        <v>0.89252767527675281</v>
      </c>
      <c r="M182" s="48">
        <v>1</v>
      </c>
      <c r="N182" s="20">
        <f t="shared" si="77"/>
        <v>0.30415094909708756</v>
      </c>
      <c r="O182" s="49">
        <f t="shared" si="78"/>
        <v>0.69584905090291249</v>
      </c>
      <c r="P182" s="20">
        <f t="shared" si="79"/>
        <v>0.80264577425021455</v>
      </c>
      <c r="Q182" s="20">
        <f t="shared" si="80"/>
        <v>1.0000000000000002</v>
      </c>
      <c r="R182" s="50">
        <f t="shared" si="81"/>
        <v>0.92521548484299898</v>
      </c>
    </row>
    <row r="183" spans="2:23" x14ac:dyDescent="0.25">
      <c r="B183" s="32"/>
      <c r="C183" s="33" t="s">
        <v>50</v>
      </c>
      <c r="D183" s="34">
        <v>150</v>
      </c>
      <c r="E183" s="35">
        <f>14.19+21.21</f>
        <v>35.4</v>
      </c>
      <c r="F183" s="27">
        <f t="shared" si="74"/>
        <v>1.4449923260294548E-2</v>
      </c>
      <c r="G183" s="28">
        <f>SUM(E184:E$188)/$E$189</f>
        <v>9.3022401462952667E-2</v>
      </c>
      <c r="J183" s="49">
        <f t="shared" si="75"/>
        <v>0.66902092157343895</v>
      </c>
      <c r="K183" s="48">
        <f t="shared" si="76"/>
        <v>0.33097907842656105</v>
      </c>
      <c r="L183" s="48">
        <f>SUM($F$177:F183)</f>
        <v>0.9069775985370474</v>
      </c>
      <c r="M183" s="48">
        <v>1</v>
      </c>
      <c r="N183" s="20">
        <f t="shared" si="77"/>
        <v>0.2623622428463856</v>
      </c>
      <c r="O183" s="49">
        <f t="shared" si="78"/>
        <v>0.73763775715361435</v>
      </c>
      <c r="P183" s="20">
        <f t="shared" si="79"/>
        <v>0.79268527815603174</v>
      </c>
      <c r="Q183" s="20">
        <f t="shared" si="80"/>
        <v>1</v>
      </c>
      <c r="R183" s="50">
        <f t="shared" si="81"/>
        <v>0.93138316441982449</v>
      </c>
    </row>
    <row r="184" spans="2:23" x14ac:dyDescent="0.25">
      <c r="B184" s="32"/>
      <c r="C184" s="33" t="s">
        <v>51</v>
      </c>
      <c r="D184" s="34">
        <v>106</v>
      </c>
      <c r="E184" s="35">
        <f>16.65+30.45</f>
        <v>47.099999999999994</v>
      </c>
      <c r="F184" s="27">
        <f t="shared" si="74"/>
        <v>1.9225745354798679E-2</v>
      </c>
      <c r="G184" s="28">
        <f>SUM(E185:E$188)/$E$189</f>
        <v>7.3796656108154002E-2</v>
      </c>
      <c r="J184" s="49">
        <f t="shared" si="75"/>
        <v>0.73612785524532975</v>
      </c>
      <c r="K184" s="48">
        <f t="shared" si="76"/>
        <v>0.26387214475467025</v>
      </c>
      <c r="L184" s="48">
        <f>SUM($F$177:F184)</f>
        <v>0.92620334389184611</v>
      </c>
      <c r="M184" s="48">
        <v>1</v>
      </c>
      <c r="N184" s="20">
        <f t="shared" si="77"/>
        <v>0.20522004147364822</v>
      </c>
      <c r="O184" s="49">
        <f t="shared" si="78"/>
        <v>0.79477995852635175</v>
      </c>
      <c r="P184" s="20">
        <f t="shared" si="79"/>
        <v>0.77772529443927241</v>
      </c>
      <c r="Q184" s="20">
        <f t="shared" si="80"/>
        <v>1</v>
      </c>
      <c r="R184" s="50">
        <f t="shared" si="81"/>
        <v>0.94134789671897801</v>
      </c>
    </row>
    <row r="185" spans="2:23" x14ac:dyDescent="0.25">
      <c r="B185" s="32"/>
      <c r="C185" s="33" t="s">
        <v>52</v>
      </c>
      <c r="D185" s="34">
        <v>75</v>
      </c>
      <c r="E185" s="35">
        <f>9.56+20.95</f>
        <v>30.509999999999998</v>
      </c>
      <c r="F185" s="27">
        <f t="shared" si="74"/>
        <v>1.2453874538745385E-2</v>
      </c>
      <c r="G185" s="28">
        <f>SUM(E186:E$188)/$E$189</f>
        <v>6.134278156940861E-2</v>
      </c>
      <c r="J185" s="49">
        <f t="shared" si="75"/>
        <v>0.7853751693676585</v>
      </c>
      <c r="K185" s="48">
        <f t="shared" si="76"/>
        <v>0.2146248306323415</v>
      </c>
      <c r="L185" s="48">
        <f>SUM($F$177:F185)</f>
        <v>0.93865721843059147</v>
      </c>
      <c r="M185" s="48">
        <v>1</v>
      </c>
      <c r="N185" s="20">
        <f t="shared" si="77"/>
        <v>0.16329928120002768</v>
      </c>
      <c r="O185" s="49">
        <f t="shared" si="78"/>
        <v>0.83670071879997232</v>
      </c>
      <c r="P185" s="20">
        <f t="shared" si="79"/>
        <v>0.76085921987173999</v>
      </c>
      <c r="Q185" s="20">
        <f t="shared" si="80"/>
        <v>1</v>
      </c>
      <c r="R185" s="50">
        <f t="shared" si="81"/>
        <v>0.94867445056768618</v>
      </c>
    </row>
    <row r="186" spans="2:23" x14ac:dyDescent="0.25">
      <c r="B186" s="32"/>
      <c r="C186" s="33" t="s">
        <v>53</v>
      </c>
      <c r="D186" s="34">
        <v>53</v>
      </c>
      <c r="E186" s="35">
        <f>5.14+14.9</f>
        <v>20.04</v>
      </c>
      <c r="F186" s="27">
        <f t="shared" si="74"/>
        <v>8.1801260490481E-3</v>
      </c>
      <c r="G186" s="28">
        <f>SUM(E187:E$188)/$E$189</f>
        <v>5.3162655520360515E-2</v>
      </c>
      <c r="J186" s="49">
        <f t="shared" si="75"/>
        <v>0.8311231076164769</v>
      </c>
      <c r="K186" s="48">
        <f t="shared" si="76"/>
        <v>0.1688768923835231</v>
      </c>
      <c r="L186" s="48">
        <f>SUM($F$177:F186)</f>
        <v>0.94683734447963952</v>
      </c>
      <c r="M186" s="48">
        <v>1</v>
      </c>
      <c r="N186" s="20">
        <f t="shared" si="77"/>
        <v>0.1222113148977627</v>
      </c>
      <c r="O186" s="49">
        <f t="shared" si="78"/>
        <v>0.87778868510223729</v>
      </c>
      <c r="P186" s="20">
        <f t="shared" si="79"/>
        <v>0.72367103144116451</v>
      </c>
      <c r="Q186" s="20">
        <f t="shared" si="80"/>
        <v>1</v>
      </c>
      <c r="R186" s="50">
        <f t="shared" si="81"/>
        <v>0.95333442251423961</v>
      </c>
    </row>
    <row r="187" spans="2:23" x14ac:dyDescent="0.25">
      <c r="B187" s="32"/>
      <c r="C187" s="33" t="s">
        <v>54</v>
      </c>
      <c r="D187" s="34">
        <v>38</v>
      </c>
      <c r="E187" s="35">
        <f>4.62+12.69</f>
        <v>17.309999999999999</v>
      </c>
      <c r="F187" s="27">
        <f t="shared" si="74"/>
        <v>7.0657675603304692E-3</v>
      </c>
      <c r="G187" s="28">
        <f>SUM(E188:E$188)/$E$189</f>
        <v>4.6096887960030045E-2</v>
      </c>
      <c r="J187" s="49">
        <f t="shared" si="75"/>
        <v>0.85614151134629946</v>
      </c>
      <c r="K187" s="48">
        <f t="shared" si="76"/>
        <v>0.14385848865370054</v>
      </c>
      <c r="L187" s="48">
        <f>SUM($F$177:F187)</f>
        <v>0.95390311203997002</v>
      </c>
      <c r="M187" s="48">
        <v>1</v>
      </c>
      <c r="N187" s="20">
        <f t="shared" si="77"/>
        <v>0.10248588086121496</v>
      </c>
      <c r="O187" s="49">
        <f t="shared" si="78"/>
        <v>0.89751411913878498</v>
      </c>
      <c r="P187" s="20">
        <f t="shared" si="79"/>
        <v>0.71240760152792459</v>
      </c>
      <c r="Q187" s="20">
        <f t="shared" si="80"/>
        <v>1</v>
      </c>
      <c r="R187" s="50">
        <f t="shared" si="81"/>
        <v>0.95862739220751436</v>
      </c>
      <c r="T187" s="48">
        <f>SUM($F$107:$F$117)</f>
        <v>0.85614151134629946</v>
      </c>
      <c r="U187" s="48">
        <f>SUM(F177:F187)</f>
        <v>0.95390311203997002</v>
      </c>
      <c r="V187" s="20">
        <v>0.7</v>
      </c>
      <c r="W187" s="20">
        <f>U187*(T187-V187)*(1-V187)*(U187-T187)/T187/(U187-V187)^2/(1-T187)</f>
        <v>0.5501677215104509</v>
      </c>
    </row>
    <row r="188" spans="2:23" x14ac:dyDescent="0.25">
      <c r="B188" s="37"/>
      <c r="C188" s="38">
        <v>-38</v>
      </c>
      <c r="D188" s="39"/>
      <c r="E188" s="40">
        <f>110.23+2.7</f>
        <v>112.93</v>
      </c>
      <c r="F188" s="27">
        <f t="shared" si="74"/>
        <v>4.6096887960030045E-2</v>
      </c>
      <c r="G188" s="41"/>
    </row>
    <row r="189" spans="2:23" x14ac:dyDescent="0.25">
      <c r="B189" s="42"/>
      <c r="C189" s="43" t="s">
        <v>55</v>
      </c>
      <c r="D189" s="44"/>
      <c r="E189" s="45">
        <f>SUM(E177:E188)</f>
        <v>2449.84</v>
      </c>
      <c r="F189" s="27">
        <f t="shared" si="74"/>
        <v>1</v>
      </c>
      <c r="G189" s="45"/>
    </row>
    <row r="192" spans="2:23" ht="15.75" thickBot="1" x14ac:dyDescent="0.3"/>
    <row r="193" spans="2:9" ht="30.75" thickBot="1" x14ac:dyDescent="0.3">
      <c r="B193" s="21" t="s">
        <v>23</v>
      </c>
      <c r="C193" s="173" t="s">
        <v>24</v>
      </c>
      <c r="D193" s="174"/>
      <c r="E193" s="22" t="s">
        <v>25</v>
      </c>
      <c r="F193" s="23" t="s">
        <v>26</v>
      </c>
      <c r="G193" s="22" t="s">
        <v>27</v>
      </c>
    </row>
    <row r="194" spans="2:9" ht="38.25" thickTop="1" x14ac:dyDescent="0.25">
      <c r="B194" s="10" t="s">
        <v>62</v>
      </c>
      <c r="C194" s="24" t="s">
        <v>43</v>
      </c>
      <c r="D194" s="25">
        <v>1180</v>
      </c>
      <c r="E194" s="26">
        <f>SUM(E35,E49,E63,E77,E91)</f>
        <v>1063.08</v>
      </c>
      <c r="F194" s="27">
        <f>E194/$E$206</f>
        <v>0.11388450858729558</v>
      </c>
      <c r="G194" s="28">
        <f>SUM(E195:$E$205)/$E$206</f>
        <v>0.8861154914127044</v>
      </c>
      <c r="I194">
        <f>I195*100</f>
        <v>40.270724217096166</v>
      </c>
    </row>
    <row r="195" spans="2:9" x14ac:dyDescent="0.25">
      <c r="B195" s="29" t="s">
        <v>44</v>
      </c>
      <c r="C195" s="25" t="s">
        <v>45</v>
      </c>
      <c r="D195" s="25">
        <v>600</v>
      </c>
      <c r="E195" s="26">
        <f t="shared" ref="E195:E204" si="82">SUM(E36,E50,E64,E78,E92)</f>
        <v>1716.1000000000001</v>
      </c>
      <c r="F195" s="27">
        <f t="shared" ref="F195:F205" si="83">E195/$E$206</f>
        <v>0.18384054369065167</v>
      </c>
      <c r="G195" s="28">
        <f>SUM(E196:$E$205)/$E$206</f>
        <v>0.70227494772205268</v>
      </c>
      <c r="I195" s="48">
        <f>SUM(F26:F32)</f>
        <v>0.40270724217096165</v>
      </c>
    </row>
    <row r="196" spans="2:9" x14ac:dyDescent="0.25">
      <c r="B196" s="31">
        <f>FORECAST(0.8,D194:D195,G194:G195)</f>
        <v>908.31354816152952</v>
      </c>
      <c r="C196" s="25" t="s">
        <v>46</v>
      </c>
      <c r="D196" s="25">
        <v>425</v>
      </c>
      <c r="E196" s="26">
        <f t="shared" si="82"/>
        <v>1797.76</v>
      </c>
      <c r="F196" s="27">
        <f t="shared" si="83"/>
        <v>0.19258852970415821</v>
      </c>
      <c r="G196" s="28">
        <f>SUM(E197:$E$205)/$E$206</f>
        <v>0.50968641801789449</v>
      </c>
    </row>
    <row r="197" spans="2:9" x14ac:dyDescent="0.25">
      <c r="B197" s="32"/>
      <c r="C197" s="25" t="s">
        <v>47</v>
      </c>
      <c r="D197" s="25">
        <v>300</v>
      </c>
      <c r="E197" s="26">
        <f t="shared" si="82"/>
        <v>2279.7200000000003</v>
      </c>
      <c r="F197" s="27">
        <f t="shared" si="83"/>
        <v>0.24421943025607623</v>
      </c>
      <c r="G197" s="28">
        <f>SUM(E198:$E$205)/$E$206</f>
        <v>0.26546698776181821</v>
      </c>
    </row>
    <row r="198" spans="2:9" x14ac:dyDescent="0.25">
      <c r="B198" s="32"/>
      <c r="C198" s="33" t="s">
        <v>48</v>
      </c>
      <c r="D198" s="34">
        <v>212</v>
      </c>
      <c r="E198" s="26">
        <f t="shared" si="82"/>
        <v>1143.44</v>
      </c>
      <c r="F198" s="27">
        <f t="shared" si="83"/>
        <v>0.12249322957731994</v>
      </c>
      <c r="G198" s="28">
        <f>SUM(E199:$E$205)/$E$206</f>
        <v>0.14297375818449828</v>
      </c>
    </row>
    <row r="199" spans="2:9" x14ac:dyDescent="0.25">
      <c r="B199" s="32"/>
      <c r="C199" s="33" t="s">
        <v>49</v>
      </c>
      <c r="D199" s="34">
        <v>180</v>
      </c>
      <c r="E199" s="26">
        <f t="shared" si="82"/>
        <v>171.42</v>
      </c>
      <c r="F199" s="27">
        <f t="shared" si="83"/>
        <v>1.836370025024853E-2</v>
      </c>
      <c r="G199" s="28">
        <f>SUM(E200:$E$205)/$E$206</f>
        <v>0.12461005793424976</v>
      </c>
    </row>
    <row r="200" spans="2:9" x14ac:dyDescent="0.25">
      <c r="B200" s="32"/>
      <c r="C200" s="33" t="s">
        <v>50</v>
      </c>
      <c r="D200" s="34">
        <v>150</v>
      </c>
      <c r="E200" s="26">
        <f t="shared" si="82"/>
        <v>182.39</v>
      </c>
      <c r="F200" s="27">
        <f t="shared" si="83"/>
        <v>1.9538882794556234E-2</v>
      </c>
      <c r="G200" s="28">
        <f>SUM(E201:$E$205)/$E$206</f>
        <v>0.10507117513969352</v>
      </c>
    </row>
    <row r="201" spans="2:9" x14ac:dyDescent="0.25">
      <c r="B201" s="32"/>
      <c r="C201" s="33" t="s">
        <v>51</v>
      </c>
      <c r="D201" s="34">
        <v>106</v>
      </c>
      <c r="E201" s="26">
        <f t="shared" si="82"/>
        <v>215.59</v>
      </c>
      <c r="F201" s="27">
        <f t="shared" si="83"/>
        <v>2.3095497240409994E-2</v>
      </c>
      <c r="G201" s="28">
        <f>SUM(E202:$E$205)/$E$206</f>
        <v>8.1975677899283533E-2</v>
      </c>
    </row>
    <row r="202" spans="2:9" x14ac:dyDescent="0.25">
      <c r="B202" s="32"/>
      <c r="C202" s="33" t="s">
        <v>52</v>
      </c>
      <c r="D202" s="34">
        <v>75</v>
      </c>
      <c r="E202" s="26">
        <f t="shared" si="82"/>
        <v>137.07999999999998</v>
      </c>
      <c r="F202" s="27">
        <f t="shared" si="83"/>
        <v>1.4684961091494975E-2</v>
      </c>
      <c r="G202" s="28">
        <f>SUM(E203:$E$205)/$E$206</f>
        <v>6.7290716807788559E-2</v>
      </c>
    </row>
    <row r="203" spans="2:9" x14ac:dyDescent="0.25">
      <c r="B203" s="32"/>
      <c r="C203" s="33" t="s">
        <v>53</v>
      </c>
      <c r="D203" s="34">
        <v>53</v>
      </c>
      <c r="E203" s="26">
        <f t="shared" si="82"/>
        <v>105.72</v>
      </c>
      <c r="F203" s="27">
        <f t="shared" si="83"/>
        <v>1.1325460217339137E-2</v>
      </c>
      <c r="G203" s="28">
        <f>SUM(E204:$E$205)/$E$206</f>
        <v>5.5965256590449416E-2</v>
      </c>
    </row>
    <row r="204" spans="2:9" x14ac:dyDescent="0.25">
      <c r="B204" s="32"/>
      <c r="C204" s="33" t="s">
        <v>54</v>
      </c>
      <c r="D204" s="34">
        <v>38</v>
      </c>
      <c r="E204" s="26">
        <f t="shared" si="82"/>
        <v>80.86</v>
      </c>
      <c r="F204" s="27">
        <f t="shared" si="83"/>
        <v>8.6622844605944247E-3</v>
      </c>
      <c r="G204" s="28">
        <f>SUM(E205:$E$205)/$E$206</f>
        <v>4.7302972129854993E-2</v>
      </c>
    </row>
    <row r="205" spans="2:9" x14ac:dyDescent="0.25">
      <c r="B205" s="37"/>
      <c r="C205" s="38">
        <v>-38</v>
      </c>
      <c r="D205" s="39"/>
      <c r="E205" s="26">
        <f>SUM(E46,E60,E74,E88,E102)</f>
        <v>441.56000000000006</v>
      </c>
      <c r="F205" s="27">
        <f t="shared" si="83"/>
        <v>4.7302972129854993E-2</v>
      </c>
      <c r="G205" s="41"/>
    </row>
    <row r="206" spans="2:9" x14ac:dyDescent="0.25">
      <c r="B206" s="42"/>
      <c r="C206" s="43" t="s">
        <v>55</v>
      </c>
      <c r="D206" s="44"/>
      <c r="E206" s="26">
        <f>SUM(E47,E61,E75,E89,E103)</f>
        <v>9334.7200000000012</v>
      </c>
      <c r="F206" s="27">
        <f>E206/$E$206</f>
        <v>1</v>
      </c>
      <c r="G206" s="45"/>
    </row>
    <row r="208" spans="2:9" ht="15.75" thickBot="1" x14ac:dyDescent="0.3">
      <c r="H208" s="30"/>
    </row>
    <row r="209" spans="2:8" ht="30.75" thickBot="1" x14ac:dyDescent="0.3">
      <c r="B209" s="21" t="s">
        <v>23</v>
      </c>
      <c r="C209" s="173" t="s">
        <v>24</v>
      </c>
      <c r="D209" s="174"/>
      <c r="E209" s="22" t="s">
        <v>25</v>
      </c>
      <c r="F209" s="23" t="s">
        <v>26</v>
      </c>
      <c r="G209" s="22" t="s">
        <v>27</v>
      </c>
      <c r="H209" s="76"/>
    </row>
    <row r="210" spans="2:8" ht="38.25" thickTop="1" x14ac:dyDescent="0.25">
      <c r="B210" s="10" t="s">
        <v>63</v>
      </c>
      <c r="C210" s="24" t="s">
        <v>43</v>
      </c>
      <c r="D210" s="25">
        <v>1180</v>
      </c>
      <c r="E210" s="26">
        <f>SUM(E121,E135,E149,E163,E177)</f>
        <v>983.12</v>
      </c>
      <c r="F210" s="27">
        <f>E210/$E$222</f>
        <v>0.11041738968313067</v>
      </c>
      <c r="G210" s="28">
        <f>SUM(E211:$E$221)/$E$222</f>
        <v>0.88958261031686914</v>
      </c>
    </row>
    <row r="211" spans="2:8" x14ac:dyDescent="0.25">
      <c r="B211" s="29" t="s">
        <v>44</v>
      </c>
      <c r="C211" s="25" t="s">
        <v>45</v>
      </c>
      <c r="D211" s="25">
        <v>600</v>
      </c>
      <c r="E211" s="26">
        <f t="shared" ref="E211:E220" si="84">SUM(E122,E136,E150,E164,E178)</f>
        <v>1732.89</v>
      </c>
      <c r="F211" s="27">
        <f t="shared" ref="F211:F221" si="85">E211/$E$222</f>
        <v>0.19462648548295255</v>
      </c>
      <c r="G211" s="28">
        <f>SUM(E212:$E$221)/$E$222</f>
        <v>0.69495612483391667</v>
      </c>
    </row>
    <row r="212" spans="2:8" x14ac:dyDescent="0.25">
      <c r="B212" s="31">
        <f>FORECAST(0.8,D210:D211,G210:G211)</f>
        <v>913.03780389984422</v>
      </c>
      <c r="C212" s="25" t="s">
        <v>46</v>
      </c>
      <c r="D212" s="25">
        <v>425</v>
      </c>
      <c r="E212" s="26">
        <f t="shared" si="84"/>
        <v>1857.22</v>
      </c>
      <c r="F212" s="27">
        <f t="shared" si="85"/>
        <v>0.20859039025480505</v>
      </c>
      <c r="G212" s="28">
        <f>SUM(E213:$E$221)/$E$222</f>
        <v>0.48636573457911181</v>
      </c>
    </row>
    <row r="213" spans="2:8" x14ac:dyDescent="0.25">
      <c r="B213" s="32"/>
      <c r="C213" s="25" t="s">
        <v>47</v>
      </c>
      <c r="D213" s="25">
        <v>300</v>
      </c>
      <c r="E213" s="26">
        <f t="shared" si="84"/>
        <v>2216.13</v>
      </c>
      <c r="F213" s="27">
        <f t="shared" si="85"/>
        <v>0.24890073419163111</v>
      </c>
      <c r="G213" s="28">
        <f>SUM(E214:$E$221)/$E$222</f>
        <v>0.23746500038748067</v>
      </c>
    </row>
    <row r="214" spans="2:8" x14ac:dyDescent="0.25">
      <c r="B214" s="32"/>
      <c r="C214" s="33" t="s">
        <v>48</v>
      </c>
      <c r="D214" s="34">
        <v>212</v>
      </c>
      <c r="E214" s="26">
        <f t="shared" si="84"/>
        <v>923.32</v>
      </c>
      <c r="F214" s="27">
        <f t="shared" si="85"/>
        <v>0.10370105810300696</v>
      </c>
      <c r="G214" s="28">
        <f>SUM(E215:$E$221)/$E$222</f>
        <v>0.13376394228447372</v>
      </c>
    </row>
    <row r="215" spans="2:8" x14ac:dyDescent="0.25">
      <c r="B215" s="32"/>
      <c r="C215" s="33" t="s">
        <v>49</v>
      </c>
      <c r="D215" s="34">
        <v>180</v>
      </c>
      <c r="E215" s="26">
        <f t="shared" si="84"/>
        <v>139.24</v>
      </c>
      <c r="F215" s="27">
        <f t="shared" si="85"/>
        <v>1.56384951373984E-2</v>
      </c>
      <c r="G215" s="28">
        <f>SUM(E216:$E$221)/$E$222</f>
        <v>0.1181254471470753</v>
      </c>
    </row>
    <row r="216" spans="2:8" x14ac:dyDescent="0.25">
      <c r="B216" s="32"/>
      <c r="C216" s="33" t="s">
        <v>50</v>
      </c>
      <c r="D216" s="34">
        <v>150</v>
      </c>
      <c r="E216" s="26">
        <f t="shared" si="84"/>
        <v>140.12</v>
      </c>
      <c r="F216" s="27">
        <f t="shared" si="85"/>
        <v>1.5737330786069117E-2</v>
      </c>
      <c r="G216" s="28">
        <f>SUM(E217:$E$221)/$E$222</f>
        <v>0.10238811636100618</v>
      </c>
    </row>
    <row r="217" spans="2:8" x14ac:dyDescent="0.25">
      <c r="B217" s="32"/>
      <c r="C217" s="33" t="s">
        <v>51</v>
      </c>
      <c r="D217" s="34">
        <v>106</v>
      </c>
      <c r="E217" s="26">
        <f t="shared" si="84"/>
        <v>166.35999999999999</v>
      </c>
      <c r="F217" s="27">
        <f t="shared" si="85"/>
        <v>1.8684430128250485E-2</v>
      </c>
      <c r="G217" s="28">
        <f>SUM(E218:$E$221)/$E$222</f>
        <v>8.3703686232755703E-2</v>
      </c>
    </row>
    <row r="218" spans="2:8" x14ac:dyDescent="0.25">
      <c r="B218" s="32"/>
      <c r="C218" s="33" t="s">
        <v>52</v>
      </c>
      <c r="D218" s="34">
        <v>75</v>
      </c>
      <c r="E218" s="26">
        <f t="shared" si="84"/>
        <v>110.41999999999999</v>
      </c>
      <c r="F218" s="27">
        <f t="shared" si="85"/>
        <v>1.2401627643432426E-2</v>
      </c>
      <c r="G218" s="28">
        <f>SUM(E219:$E$221)/$E$222</f>
        <v>7.1302058589323272E-2</v>
      </c>
    </row>
    <row r="219" spans="2:8" x14ac:dyDescent="0.25">
      <c r="B219" s="32"/>
      <c r="C219" s="33" t="s">
        <v>53</v>
      </c>
      <c r="D219" s="34">
        <v>53</v>
      </c>
      <c r="E219" s="26">
        <f t="shared" si="84"/>
        <v>81.12</v>
      </c>
      <c r="F219" s="27">
        <f t="shared" si="85"/>
        <v>9.1108497956460654E-3</v>
      </c>
      <c r="G219" s="28">
        <f>SUM(E220:$E$221)/$E$222</f>
        <v>6.2191208793677219E-2</v>
      </c>
    </row>
    <row r="220" spans="2:8" x14ac:dyDescent="0.25">
      <c r="B220" s="32"/>
      <c r="C220" s="33" t="s">
        <v>54</v>
      </c>
      <c r="D220" s="34">
        <v>38</v>
      </c>
      <c r="E220" s="26">
        <f t="shared" si="84"/>
        <v>69.320000000000007</v>
      </c>
      <c r="F220" s="27">
        <f t="shared" si="85"/>
        <v>7.7855535975614558E-3</v>
      </c>
      <c r="G220" s="28">
        <f>SUM(E221:$E$221)/$E$222</f>
        <v>5.4405655196115753E-2</v>
      </c>
    </row>
    <row r="221" spans="2:8" x14ac:dyDescent="0.25">
      <c r="B221" s="37"/>
      <c r="C221" s="38">
        <v>-38</v>
      </c>
      <c r="D221" s="39"/>
      <c r="E221" s="26">
        <f>SUM(E132,E146,E160,E174,E188)</f>
        <v>484.40999999999997</v>
      </c>
      <c r="F221" s="27">
        <f t="shared" si="85"/>
        <v>5.4405655196115753E-2</v>
      </c>
      <c r="G221" s="41"/>
    </row>
    <row r="222" spans="2:8" x14ac:dyDescent="0.25">
      <c r="B222" s="42"/>
      <c r="C222" s="43" t="s">
        <v>55</v>
      </c>
      <c r="D222" s="44"/>
      <c r="E222" s="26">
        <f>SUM(E133,E147,E161,E175,E189)</f>
        <v>8903.67</v>
      </c>
      <c r="F222" s="27">
        <f>E222/$E$189</f>
        <v>3.6343883682199651</v>
      </c>
      <c r="G222" s="45"/>
    </row>
    <row r="225" spans="3:6" x14ac:dyDescent="0.25">
      <c r="C225">
        <f>69.52-100</f>
        <v>-30.480000000000004</v>
      </c>
      <c r="D225">
        <f>C225/C226</f>
        <v>0.38080959520239888</v>
      </c>
      <c r="E225">
        <f>19.96/69.52</f>
        <v>0.28711162255466055</v>
      </c>
      <c r="F225" s="77">
        <f>69.52/19.96</f>
        <v>3.4829659318637272</v>
      </c>
    </row>
    <row r="226" spans="3:6" x14ac:dyDescent="0.25">
      <c r="C226">
        <f>19.96-100</f>
        <v>-80.039999999999992</v>
      </c>
      <c r="D226">
        <f>D225*E225</f>
        <v>0.10933486076294421</v>
      </c>
    </row>
    <row r="228" spans="3:6" x14ac:dyDescent="0.25">
      <c r="E228">
        <f>D225*F225</f>
        <v>1.3263468466167718</v>
      </c>
    </row>
    <row r="229" spans="3:6" x14ac:dyDescent="0.25">
      <c r="D229">
        <f>D226*100</f>
        <v>10.933486076294422</v>
      </c>
    </row>
  </sheetData>
  <mergeCells count="15">
    <mergeCell ref="C76:D76"/>
    <mergeCell ref="B1:G3"/>
    <mergeCell ref="C20:D20"/>
    <mergeCell ref="C34:D34"/>
    <mergeCell ref="C48:D48"/>
    <mergeCell ref="C62:D62"/>
    <mergeCell ref="C176:D176"/>
    <mergeCell ref="C193:D193"/>
    <mergeCell ref="C209:D209"/>
    <mergeCell ref="C90:D90"/>
    <mergeCell ref="C106:D106"/>
    <mergeCell ref="C120:D120"/>
    <mergeCell ref="C134:D134"/>
    <mergeCell ref="C148:D148"/>
    <mergeCell ref="C162:D162"/>
  </mergeCells>
  <conditionalFormatting sqref="C11:G11 C17:G17">
    <cfRule type="cellIs" dxfId="1" priority="1" operator="greaterThan">
      <formula>0.7</formula>
    </cfRule>
    <cfRule type="cellIs" dxfId="0" priority="2" operator="greaterThan">
      <formula>70</formula>
    </cfRule>
  </conditionalFormatting>
  <pageMargins left="0.7" right="0.7" top="1.3" bottom="0.75" header="0.3" footer="0.3"/>
  <pageSetup scale="72" orientation="landscape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70E8A-54EB-4ABD-ADD1-0B82BE7B161B}">
  <sheetPr>
    <pageSetUpPr fitToPage="1"/>
  </sheetPr>
  <dimension ref="A1:R243"/>
  <sheetViews>
    <sheetView showGridLines="0" zoomScale="115" zoomScaleNormal="115" workbookViewId="0">
      <selection activeCell="A22" sqref="A22"/>
    </sheetView>
  </sheetViews>
  <sheetFormatPr defaultColWidth="8.85546875" defaultRowHeight="11.25" x14ac:dyDescent="0.2"/>
  <cols>
    <col min="1" max="1" width="12.85546875" style="84" bestFit="1" customWidth="1"/>
    <col min="2" max="2" width="14.85546875" style="84" customWidth="1"/>
    <col min="3" max="5" width="12.5703125" style="84" bestFit="1" customWidth="1"/>
    <col min="6" max="6" width="12.5703125" style="144" bestFit="1" customWidth="1"/>
    <col min="7" max="7" width="12.5703125" style="84" bestFit="1" customWidth="1"/>
    <col min="8" max="8" width="15.140625" style="84" bestFit="1" customWidth="1"/>
    <col min="9" max="9" width="9.28515625" style="84" bestFit="1" customWidth="1"/>
    <col min="10" max="10" width="21.5703125" style="84" bestFit="1" customWidth="1"/>
    <col min="11" max="11" width="7.28515625" style="84" bestFit="1" customWidth="1"/>
    <col min="12" max="12" width="6.7109375" style="84" bestFit="1" customWidth="1"/>
    <col min="13" max="13" width="7.28515625" style="84" bestFit="1" customWidth="1"/>
    <col min="14" max="14" width="4.7109375" style="84" bestFit="1" customWidth="1"/>
    <col min="15" max="15" width="7.28515625" style="84" bestFit="1" customWidth="1"/>
    <col min="16" max="18" width="6.7109375" style="84" bestFit="1" customWidth="1"/>
    <col min="19" max="16384" width="8.85546875" style="84"/>
  </cols>
  <sheetData>
    <row r="1" spans="1:13" x14ac:dyDescent="0.2">
      <c r="A1" s="83"/>
      <c r="B1" s="180" t="s">
        <v>64</v>
      </c>
      <c r="C1" s="180"/>
      <c r="D1" s="180"/>
      <c r="E1" s="180"/>
      <c r="F1" s="180"/>
      <c r="G1" s="180"/>
    </row>
    <row r="2" spans="1:13" x14ac:dyDescent="0.2">
      <c r="A2" s="83"/>
      <c r="B2" s="180"/>
      <c r="C2" s="180"/>
      <c r="D2" s="180"/>
      <c r="E2" s="180"/>
      <c r="F2" s="180"/>
      <c r="G2" s="180"/>
    </row>
    <row r="3" spans="1:13" x14ac:dyDescent="0.2">
      <c r="A3" s="83"/>
      <c r="B3" s="180"/>
      <c r="C3" s="180"/>
      <c r="D3" s="180"/>
      <c r="E3" s="180"/>
      <c r="F3" s="180"/>
      <c r="G3" s="180"/>
    </row>
    <row r="4" spans="1:13" x14ac:dyDescent="0.2">
      <c r="A4" s="83"/>
      <c r="B4" s="85"/>
      <c r="C4" s="86"/>
      <c r="D4" s="85"/>
      <c r="E4" s="85"/>
      <c r="F4" s="85"/>
      <c r="G4" s="85"/>
    </row>
    <row r="5" spans="1:13" x14ac:dyDescent="0.2">
      <c r="A5" s="181" t="s">
        <v>65</v>
      </c>
      <c r="B5" s="182"/>
      <c r="C5" s="87"/>
      <c r="D5" s="85"/>
      <c r="E5" s="85"/>
      <c r="F5" s="85"/>
      <c r="G5" s="85"/>
    </row>
    <row r="6" spans="1:13" x14ac:dyDescent="0.2">
      <c r="A6" s="183" t="s">
        <v>66</v>
      </c>
      <c r="B6" s="184"/>
      <c r="C6" s="87"/>
      <c r="D6" s="85"/>
      <c r="E6" s="85"/>
      <c r="F6" s="85"/>
      <c r="G6" s="85"/>
    </row>
    <row r="7" spans="1:13" x14ac:dyDescent="0.2">
      <c r="A7" s="185" t="s">
        <v>67</v>
      </c>
      <c r="B7" s="186"/>
      <c r="C7" s="87"/>
      <c r="D7" s="85"/>
      <c r="E7" s="85"/>
      <c r="F7" s="85"/>
      <c r="G7" s="85"/>
    </row>
    <row r="8" spans="1:13" x14ac:dyDescent="0.2">
      <c r="A8" s="187" t="s">
        <v>68</v>
      </c>
      <c r="B8" s="187"/>
      <c r="C8" s="87"/>
      <c r="D8" s="85"/>
      <c r="E8" s="85"/>
      <c r="F8" s="85"/>
      <c r="G8" s="85"/>
    </row>
    <row r="9" spans="1:13" ht="12" thickBot="1" x14ac:dyDescent="0.25">
      <c r="A9" s="83"/>
      <c r="B9" s="88"/>
      <c r="C9" s="88"/>
      <c r="D9" s="88"/>
      <c r="E9" s="88"/>
      <c r="F9" s="89"/>
      <c r="G9" s="89"/>
    </row>
    <row r="10" spans="1:13" ht="31.9" customHeight="1" thickTop="1" x14ac:dyDescent="0.2">
      <c r="A10" s="90" t="s">
        <v>4</v>
      </c>
      <c r="B10" s="91" t="s">
        <v>69</v>
      </c>
      <c r="C10" s="91" t="s">
        <v>70</v>
      </c>
      <c r="D10" s="91" t="s">
        <v>71</v>
      </c>
      <c r="E10" s="91" t="s">
        <v>72</v>
      </c>
      <c r="F10" s="91" t="s">
        <v>73</v>
      </c>
      <c r="G10" s="91" t="s">
        <v>74</v>
      </c>
    </row>
    <row r="11" spans="1:13" x14ac:dyDescent="0.2">
      <c r="A11" s="92" t="s">
        <v>75</v>
      </c>
      <c r="B11" s="93" t="s">
        <v>76</v>
      </c>
      <c r="C11" s="93" t="s">
        <v>77</v>
      </c>
      <c r="D11" s="93" t="s">
        <v>77</v>
      </c>
      <c r="E11" s="93" t="s">
        <v>77</v>
      </c>
      <c r="F11" s="93" t="s">
        <v>77</v>
      </c>
      <c r="G11" s="93" t="s">
        <v>77</v>
      </c>
    </row>
    <row r="12" spans="1:13" x14ac:dyDescent="0.2">
      <c r="A12" s="94" t="s">
        <v>11</v>
      </c>
      <c r="B12" s="95"/>
      <c r="C12" s="95">
        <v>832</v>
      </c>
      <c r="D12" s="95">
        <v>834</v>
      </c>
      <c r="E12" s="95">
        <v>826</v>
      </c>
      <c r="F12" s="95">
        <v>834</v>
      </c>
      <c r="G12" s="95">
        <v>826</v>
      </c>
    </row>
    <row r="13" spans="1:13" x14ac:dyDescent="0.2">
      <c r="A13" s="94" t="s">
        <v>12</v>
      </c>
      <c r="B13" s="95"/>
      <c r="C13" s="95">
        <v>4584</v>
      </c>
      <c r="D13" s="95">
        <v>4262</v>
      </c>
      <c r="E13" s="95">
        <v>5822</v>
      </c>
      <c r="F13" s="95">
        <v>4420</v>
      </c>
      <c r="G13" s="95">
        <v>4796</v>
      </c>
    </row>
    <row r="14" spans="1:13" x14ac:dyDescent="0.2">
      <c r="A14" s="94" t="s">
        <v>13</v>
      </c>
      <c r="B14" s="96"/>
      <c r="C14" s="96">
        <f>E52</f>
        <v>1608.07</v>
      </c>
      <c r="D14" s="96">
        <f>E67</f>
        <v>1260.4000000000001</v>
      </c>
      <c r="E14" s="96">
        <f>E82</f>
        <v>2179.7000000000003</v>
      </c>
      <c r="F14" s="96">
        <f>E82</f>
        <v>2179.7000000000003</v>
      </c>
      <c r="G14" s="96">
        <f>E112</f>
        <v>1701.0500000000002</v>
      </c>
    </row>
    <row r="15" spans="1:13" x14ac:dyDescent="0.2">
      <c r="A15" s="97" t="s">
        <v>14</v>
      </c>
      <c r="B15" s="98" t="e">
        <f t="shared" ref="B15:G15" si="0">B14/(B13-B12)</f>
        <v>#DIV/0!</v>
      </c>
      <c r="C15" s="98">
        <f t="shared" si="0"/>
        <v>0.42859008528784648</v>
      </c>
      <c r="D15" s="98">
        <f t="shared" si="0"/>
        <v>0.36767794632438744</v>
      </c>
      <c r="E15" s="98">
        <f t="shared" si="0"/>
        <v>0.43628903122498003</v>
      </c>
      <c r="F15" s="98">
        <f t="shared" si="0"/>
        <v>0.60783602900167322</v>
      </c>
      <c r="G15" s="98">
        <f t="shared" si="0"/>
        <v>0.4284760705289673</v>
      </c>
    </row>
    <row r="16" spans="1:13" ht="12" thickBot="1" x14ac:dyDescent="0.25">
      <c r="A16" s="99"/>
      <c r="B16" s="100"/>
      <c r="C16" s="100"/>
      <c r="D16" s="100"/>
      <c r="E16" s="100"/>
      <c r="F16" s="100"/>
      <c r="G16" s="100"/>
      <c r="H16" s="100"/>
      <c r="I16" s="100"/>
      <c r="K16" s="100"/>
      <c r="L16" s="100"/>
      <c r="M16" s="100"/>
    </row>
    <row r="17" spans="1:18" ht="23.25" thickTop="1" x14ac:dyDescent="0.2">
      <c r="A17" s="90" t="s">
        <v>4</v>
      </c>
      <c r="B17" s="91" t="s">
        <v>78</v>
      </c>
      <c r="C17" s="91" t="s">
        <v>79</v>
      </c>
      <c r="D17" s="91" t="s">
        <v>80</v>
      </c>
      <c r="E17" s="91" t="s">
        <v>81</v>
      </c>
      <c r="F17" s="91" t="s">
        <v>82</v>
      </c>
      <c r="G17" s="91" t="s">
        <v>83</v>
      </c>
      <c r="H17" s="100"/>
      <c r="I17" s="100"/>
      <c r="K17" s="100"/>
      <c r="L17" s="100"/>
      <c r="M17" s="100"/>
    </row>
    <row r="18" spans="1:18" x14ac:dyDescent="0.2">
      <c r="A18" s="94" t="s">
        <v>11</v>
      </c>
      <c r="B18" s="95"/>
      <c r="C18" s="95"/>
      <c r="D18" s="95"/>
      <c r="E18" s="95">
        <v>524</v>
      </c>
      <c r="F18" s="95"/>
      <c r="G18" s="95">
        <v>528</v>
      </c>
      <c r="H18" s="100"/>
      <c r="I18" s="100"/>
      <c r="K18" s="100"/>
      <c r="L18" s="100"/>
      <c r="M18" s="100"/>
    </row>
    <row r="19" spans="1:18" x14ac:dyDescent="0.2">
      <c r="A19" s="94" t="s">
        <v>12</v>
      </c>
      <c r="B19" s="101"/>
      <c r="C19" s="95"/>
      <c r="D19" s="95"/>
      <c r="E19" s="95">
        <v>3156</v>
      </c>
      <c r="F19" s="95"/>
      <c r="G19" s="95">
        <v>1974</v>
      </c>
      <c r="H19" s="100"/>
      <c r="I19" s="100"/>
      <c r="K19" s="100"/>
      <c r="L19" s="100"/>
      <c r="M19" s="100"/>
    </row>
    <row r="20" spans="1:18" x14ac:dyDescent="0.2">
      <c r="A20" s="94" t="s">
        <v>13</v>
      </c>
      <c r="B20" s="102"/>
      <c r="C20" s="102"/>
      <c r="D20" s="102"/>
      <c r="E20" s="102">
        <f>E173</f>
        <v>1652.5100000000002</v>
      </c>
      <c r="F20" s="102"/>
      <c r="G20" s="102">
        <f>E203</f>
        <v>1134.3599999999999</v>
      </c>
      <c r="H20" s="100"/>
      <c r="I20" s="100"/>
      <c r="K20" s="100"/>
      <c r="L20" s="100"/>
      <c r="M20" s="100"/>
    </row>
    <row r="21" spans="1:18" x14ac:dyDescent="0.2">
      <c r="A21" s="97" t="s">
        <v>14</v>
      </c>
      <c r="B21" s="98"/>
      <c r="C21" s="98" t="e">
        <f t="shared" ref="C21:G21" si="1">C20/(C19-C18)</f>
        <v>#DIV/0!</v>
      </c>
      <c r="D21" s="98" t="e">
        <f t="shared" si="1"/>
        <v>#DIV/0!</v>
      </c>
      <c r="E21" s="98">
        <f t="shared" si="1"/>
        <v>0.62785334346504562</v>
      </c>
      <c r="F21" s="98" t="e">
        <f t="shared" si="1"/>
        <v>#DIV/0!</v>
      </c>
      <c r="G21" s="98">
        <f t="shared" si="1"/>
        <v>0.7844813278008298</v>
      </c>
      <c r="H21" s="100"/>
      <c r="I21" s="100"/>
      <c r="J21" s="84" t="s">
        <v>59</v>
      </c>
      <c r="K21" s="100"/>
      <c r="L21" s="100"/>
      <c r="M21" s="100"/>
    </row>
    <row r="22" spans="1:18" ht="45" x14ac:dyDescent="0.2">
      <c r="A22" s="99"/>
      <c r="B22" s="100"/>
      <c r="C22" s="100"/>
      <c r="D22" s="100"/>
      <c r="E22" s="100"/>
      <c r="F22" s="100"/>
      <c r="G22" s="100"/>
      <c r="H22" s="100"/>
      <c r="I22" s="100"/>
      <c r="J22" s="103" t="s">
        <v>84</v>
      </c>
      <c r="K22" s="104" t="s">
        <v>85</v>
      </c>
      <c r="L22" s="104" t="s">
        <v>86</v>
      </c>
      <c r="M22" s="104" t="s">
        <v>87</v>
      </c>
      <c r="N22" s="104" t="s">
        <v>88</v>
      </c>
      <c r="O22" s="104" t="s">
        <v>89</v>
      </c>
      <c r="P22" s="104" t="s">
        <v>90</v>
      </c>
      <c r="Q22" s="104" t="s">
        <v>91</v>
      </c>
      <c r="R22" s="105" t="s">
        <v>92</v>
      </c>
    </row>
    <row r="24" spans="1:18" ht="12" thickBot="1" x14ac:dyDescent="0.25">
      <c r="B24" s="106" t="s">
        <v>23</v>
      </c>
      <c r="C24" s="177" t="s">
        <v>24</v>
      </c>
      <c r="D24" s="178"/>
      <c r="E24" s="107" t="s">
        <v>25</v>
      </c>
      <c r="F24" s="108" t="s">
        <v>26</v>
      </c>
      <c r="G24" s="107" t="s">
        <v>27</v>
      </c>
      <c r="H24" s="84" t="s">
        <v>28</v>
      </c>
      <c r="J24" s="84" t="s">
        <v>29</v>
      </c>
      <c r="K24" s="84" t="s">
        <v>30</v>
      </c>
      <c r="L24" s="84" t="s">
        <v>31</v>
      </c>
      <c r="M24" s="84" t="s">
        <v>32</v>
      </c>
      <c r="N24" s="84" t="s">
        <v>33</v>
      </c>
      <c r="O24" s="84" t="s">
        <v>34</v>
      </c>
      <c r="P24" s="84" t="s">
        <v>35</v>
      </c>
      <c r="Q24" s="84" t="s">
        <v>36</v>
      </c>
      <c r="R24" s="84" t="s">
        <v>37</v>
      </c>
    </row>
    <row r="25" spans="1:18" ht="12" thickTop="1" x14ac:dyDescent="0.2">
      <c r="B25" s="109" t="str">
        <f>B10&amp;" "&amp;B11</f>
        <v>SC-04 Feed DI-027</v>
      </c>
      <c r="C25" s="110" t="s">
        <v>43</v>
      </c>
      <c r="D25" s="111">
        <v>1180</v>
      </c>
      <c r="E25" s="112">
        <f>80.11+56.2</f>
        <v>136.31</v>
      </c>
      <c r="F25" s="113">
        <f>E25/$E$37</f>
        <v>8.5395496861334921E-2</v>
      </c>
      <c r="G25" s="114">
        <f>SUM(E26:E$36)/$E$37</f>
        <v>0.91460450313866515</v>
      </c>
    </row>
    <row r="26" spans="1:18" x14ac:dyDescent="0.2">
      <c r="B26" s="115" t="s">
        <v>44</v>
      </c>
      <c r="C26" s="111" t="s">
        <v>45</v>
      </c>
      <c r="D26" s="111">
        <v>600</v>
      </c>
      <c r="E26" s="112">
        <f>105.33+72.2</f>
        <v>177.53</v>
      </c>
      <c r="F26" s="113">
        <f t="shared" ref="F26:F36" si="2">E26/$E$37</f>
        <v>0.11121900489907408</v>
      </c>
      <c r="G26" s="114">
        <f>SUM(E27:E$36)/$E$37</f>
        <v>0.80338549823959093</v>
      </c>
      <c r="J26" s="116"/>
    </row>
    <row r="27" spans="1:18" x14ac:dyDescent="0.2">
      <c r="B27" s="117">
        <f>FORECAST(0.8,D26:D27,G26:G27)</f>
        <v>593.3653711238951</v>
      </c>
      <c r="C27" s="111" t="s">
        <v>46</v>
      </c>
      <c r="D27" s="111">
        <v>425</v>
      </c>
      <c r="E27" s="112">
        <f>79.57+62.97</f>
        <v>142.54</v>
      </c>
      <c r="F27" s="113">
        <f t="shared" si="2"/>
        <v>8.9298467629775349E-2</v>
      </c>
      <c r="G27" s="114">
        <f>SUM(E28:E$36)/$E$37</f>
        <v>0.7140870306098156</v>
      </c>
    </row>
    <row r="28" spans="1:18" x14ac:dyDescent="0.2">
      <c r="B28" s="118"/>
      <c r="C28" s="111" t="s">
        <v>47</v>
      </c>
      <c r="D28" s="111">
        <v>300</v>
      </c>
      <c r="E28" s="112">
        <f>99.8+88.49</f>
        <v>188.29</v>
      </c>
      <c r="F28" s="113">
        <f t="shared" si="2"/>
        <v>0.11795993033541743</v>
      </c>
      <c r="G28" s="114">
        <f>SUM(E29:E$36)/$E$37</f>
        <v>0.59612710027439819</v>
      </c>
    </row>
    <row r="29" spans="1:18" x14ac:dyDescent="0.2">
      <c r="B29" s="118"/>
      <c r="C29" s="119" t="s">
        <v>48</v>
      </c>
      <c r="D29" s="120">
        <v>212</v>
      </c>
      <c r="E29" s="121">
        <f>92.71+89.31</f>
        <v>182.01999999999998</v>
      </c>
      <c r="F29" s="122">
        <f t="shared" si="2"/>
        <v>0.1140319003646114</v>
      </c>
      <c r="G29" s="123">
        <f>SUM(E30:E$36)/$E$37</f>
        <v>0.48209519990978694</v>
      </c>
      <c r="H29" s="124">
        <f>SUM(F30:F36)*100</f>
        <v>48.209519990978691</v>
      </c>
    </row>
    <row r="30" spans="1:18" x14ac:dyDescent="0.2">
      <c r="B30" s="118"/>
      <c r="C30" s="119" t="s">
        <v>49</v>
      </c>
      <c r="D30" s="125">
        <v>180</v>
      </c>
      <c r="E30" s="126">
        <f>32.67+28</f>
        <v>60.67</v>
      </c>
      <c r="F30" s="113">
        <f t="shared" si="2"/>
        <v>3.800854518800667E-2</v>
      </c>
      <c r="G30" s="114">
        <f>SUM(E31:E$36)/$E$37</f>
        <v>0.44408665472178027</v>
      </c>
    </row>
    <row r="31" spans="1:18" x14ac:dyDescent="0.2">
      <c r="B31" s="118"/>
      <c r="C31" s="119" t="s">
        <v>50</v>
      </c>
      <c r="D31" s="125">
        <v>150</v>
      </c>
      <c r="E31" s="126">
        <v>84.24</v>
      </c>
      <c r="F31" s="113">
        <f t="shared" si="2"/>
        <v>5.2774680181929816E-2</v>
      </c>
      <c r="G31" s="114">
        <f>SUM(E32:E$36)/$E$37</f>
        <v>0.39131197453985045</v>
      </c>
    </row>
    <row r="32" spans="1:18" x14ac:dyDescent="0.2">
      <c r="B32" s="118"/>
      <c r="C32" s="119" t="s">
        <v>51</v>
      </c>
      <c r="D32" s="125">
        <v>106</v>
      </c>
      <c r="E32" s="126">
        <v>128.76</v>
      </c>
      <c r="F32" s="113">
        <f t="shared" si="2"/>
        <v>8.0665572414830036E-2</v>
      </c>
      <c r="G32" s="114">
        <f>SUM(E33:E$36)/$E$37</f>
        <v>0.31064640212502043</v>
      </c>
    </row>
    <row r="33" spans="2:18" x14ac:dyDescent="0.2">
      <c r="B33" s="118"/>
      <c r="C33" s="119" t="s">
        <v>52</v>
      </c>
      <c r="D33" s="125">
        <v>75</v>
      </c>
      <c r="E33" s="126">
        <v>91.24</v>
      </c>
      <c r="F33" s="113">
        <f t="shared" si="2"/>
        <v>5.7160040595907839E-2</v>
      </c>
      <c r="G33" s="114">
        <f>SUM(E34:E$36)/$E$37</f>
        <v>0.25348636152911258</v>
      </c>
    </row>
    <row r="34" spans="2:18" x14ac:dyDescent="0.2">
      <c r="B34" s="118"/>
      <c r="C34" s="119" t="s">
        <v>53</v>
      </c>
      <c r="D34" s="125">
        <v>53</v>
      </c>
      <c r="E34" s="126">
        <v>80.3</v>
      </c>
      <c r="F34" s="113">
        <f t="shared" si="2"/>
        <v>5.0306348748919323E-2</v>
      </c>
      <c r="G34" s="114">
        <f>SUM(E35:E$36)/$E$37</f>
        <v>0.20318001278019324</v>
      </c>
    </row>
    <row r="35" spans="2:18" x14ac:dyDescent="0.2">
      <c r="B35" s="118"/>
      <c r="C35" s="119" t="s">
        <v>54</v>
      </c>
      <c r="D35" s="125">
        <v>38</v>
      </c>
      <c r="E35" s="126">
        <v>42.94</v>
      </c>
      <c r="F35" s="113">
        <f t="shared" si="2"/>
        <v>2.6901053739459474E-2</v>
      </c>
      <c r="G35" s="114">
        <f>SUM(E36:E$36)/$E$37</f>
        <v>0.17627895904073376</v>
      </c>
    </row>
    <row r="36" spans="2:18" x14ac:dyDescent="0.2">
      <c r="B36" s="127"/>
      <c r="C36" s="128">
        <v>-38</v>
      </c>
      <c r="D36" s="129"/>
      <c r="E36" s="130">
        <f>12.18+269.2</f>
        <v>281.38</v>
      </c>
      <c r="F36" s="113">
        <f t="shared" si="2"/>
        <v>0.17627895904073376</v>
      </c>
      <c r="G36" s="131"/>
    </row>
    <row r="37" spans="2:18" x14ac:dyDescent="0.2">
      <c r="B37" s="132"/>
      <c r="C37" s="133" t="s">
        <v>55</v>
      </c>
      <c r="D37" s="134"/>
      <c r="E37" s="135">
        <f>SUM(E25:E36)</f>
        <v>1596.2199999999998</v>
      </c>
      <c r="F37" s="136">
        <f>E37/$E$37</f>
        <v>1</v>
      </c>
      <c r="G37" s="135"/>
    </row>
    <row r="38" spans="2:18" x14ac:dyDescent="0.2">
      <c r="C38" s="137"/>
      <c r="D38" s="138"/>
      <c r="E38" s="139"/>
      <c r="F38" s="140"/>
      <c r="G38" s="139"/>
    </row>
    <row r="39" spans="2:18" ht="12" thickBot="1" x14ac:dyDescent="0.25">
      <c r="B39" s="106" t="s">
        <v>23</v>
      </c>
      <c r="C39" s="177" t="s">
        <v>24</v>
      </c>
      <c r="D39" s="178"/>
      <c r="E39" s="107" t="s">
        <v>25</v>
      </c>
      <c r="F39" s="108" t="s">
        <v>26</v>
      </c>
      <c r="G39" s="107" t="s">
        <v>27</v>
      </c>
      <c r="J39" s="141"/>
      <c r="K39" s="141"/>
      <c r="L39" s="141"/>
      <c r="M39" s="141"/>
      <c r="N39" s="141"/>
      <c r="O39" s="141"/>
    </row>
    <row r="40" spans="2:18" ht="23.25" thickTop="1" x14ac:dyDescent="0.2">
      <c r="B40" s="109" t="str">
        <f>C10&amp;" "&amp;"("&amp;C11&amp;")"</f>
        <v>SC-04 feed to deck1 (DI-040)</v>
      </c>
      <c r="C40" s="110" t="s">
        <v>43</v>
      </c>
      <c r="D40" s="111">
        <v>1180</v>
      </c>
      <c r="E40" s="112">
        <f>93.69+56.4</f>
        <v>150.09</v>
      </c>
      <c r="F40" s="113">
        <f>E40/$E$52</f>
        <v>9.333548912671713E-2</v>
      </c>
      <c r="G40" s="142">
        <f>SUM(E41:E$51)/$E$52</f>
        <v>0.90666451087328304</v>
      </c>
      <c r="J40" s="116"/>
      <c r="K40" s="116"/>
      <c r="L40" s="116"/>
      <c r="M40" s="116"/>
      <c r="N40" s="116"/>
      <c r="O40" s="116"/>
    </row>
    <row r="41" spans="2:18" x14ac:dyDescent="0.2">
      <c r="B41" s="115" t="s">
        <v>44</v>
      </c>
      <c r="C41" s="111" t="s">
        <v>45</v>
      </c>
      <c r="D41" s="111">
        <v>600</v>
      </c>
      <c r="E41" s="112">
        <f>111.45+78.6</f>
        <v>190.05</v>
      </c>
      <c r="F41" s="113">
        <f t="shared" ref="F41:F52" si="3">E41/$E$52</f>
        <v>0.11818515363137178</v>
      </c>
      <c r="G41" s="142">
        <f>SUM(E42:E$51)/$E$52</f>
        <v>0.78847935724191132</v>
      </c>
    </row>
    <row r="42" spans="2:18" x14ac:dyDescent="0.2">
      <c r="B42" s="117">
        <f>FORECAST(0.8,D40:D41,G40:G41)</f>
        <v>656.53817416469246</v>
      </c>
      <c r="C42" s="111" t="s">
        <v>46</v>
      </c>
      <c r="D42" s="111">
        <v>425</v>
      </c>
      <c r="E42" s="112">
        <f>85.13+59.6</f>
        <v>144.72999999999999</v>
      </c>
      <c r="F42" s="113">
        <f t="shared" si="3"/>
        <v>9.0002300894861539E-2</v>
      </c>
      <c r="G42" s="142">
        <f>SUM(E43:E$51)/$E$52</f>
        <v>0.6984770563470496</v>
      </c>
      <c r="J42" s="116"/>
    </row>
    <row r="43" spans="2:18" x14ac:dyDescent="0.2">
      <c r="B43" s="118"/>
      <c r="C43" s="111" t="s">
        <v>47</v>
      </c>
      <c r="D43" s="111">
        <v>300</v>
      </c>
      <c r="E43" s="112">
        <f>107.2+80.4</f>
        <v>187.60000000000002</v>
      </c>
      <c r="F43" s="113">
        <f t="shared" si="3"/>
        <v>0.11666158811494526</v>
      </c>
      <c r="G43" s="142">
        <f>SUM(E44:E$51)/$E$52</f>
        <v>0.58181546823210439</v>
      </c>
      <c r="H43" s="116"/>
      <c r="J43" s="143">
        <f>SUM($F$25:F28)</f>
        <v>0.40387289972560181</v>
      </c>
      <c r="K43" s="143">
        <f>1-J43</f>
        <v>0.59612710027439819</v>
      </c>
      <c r="L43" s="143">
        <f>SUM($F$40:F43)</f>
        <v>0.41818453176789572</v>
      </c>
      <c r="M43" s="143">
        <v>1</v>
      </c>
      <c r="N43" s="144">
        <f>+(L43-J43)/(L43+M43-1)</f>
        <v>3.4223245852233665E-2</v>
      </c>
      <c r="O43" s="145">
        <f>1-N43</f>
        <v>0.96577675414776631</v>
      </c>
      <c r="P43" s="144">
        <f>+N43*M43/K43</f>
        <v>5.740931059245697E-2</v>
      </c>
      <c r="Q43" s="144">
        <f>+O43*L43/J43</f>
        <v>1</v>
      </c>
      <c r="R43" s="146">
        <f>+N43*M43+O43*L43</f>
        <v>0.43809614557783549</v>
      </c>
    </row>
    <row r="44" spans="2:18" x14ac:dyDescent="0.2">
      <c r="B44" s="118"/>
      <c r="C44" s="119" t="s">
        <v>48</v>
      </c>
      <c r="D44" s="120">
        <v>212</v>
      </c>
      <c r="E44" s="147">
        <f>98.9+78.1</f>
        <v>177</v>
      </c>
      <c r="F44" s="122">
        <f t="shared" si="3"/>
        <v>0.11006983526836518</v>
      </c>
      <c r="G44" s="148">
        <f>SUM(E45:E$51)/$E$52</f>
        <v>0.47174563296373917</v>
      </c>
      <c r="H44" s="124">
        <f>SUM(F45:F51)*100</f>
        <v>47.174563296373925</v>
      </c>
      <c r="I44" s="149">
        <f>($I$208-H44)/($I$208*(100-H44))*10000</f>
        <v>4.0639305240123464</v>
      </c>
      <c r="J44" s="143">
        <f>SUM($F$25:F29)</f>
        <v>0.51790480009021322</v>
      </c>
      <c r="K44" s="143">
        <f t="shared" ref="K44:K50" si="4">1-J44</f>
        <v>0.48209519990978678</v>
      </c>
      <c r="L44" s="143">
        <f>SUM($F$40:F44)</f>
        <v>0.52825436703626094</v>
      </c>
      <c r="M44" s="143">
        <v>1</v>
      </c>
      <c r="N44" s="144">
        <f t="shared" ref="N44:N50" si="5">+(L44-J44)/(L44+M44-1)</f>
        <v>1.9592013983932274E-2</v>
      </c>
      <c r="O44" s="145">
        <f t="shared" ref="O44:O50" si="6">1-N44</f>
        <v>0.98040798601606771</v>
      </c>
      <c r="P44" s="144">
        <f t="shared" ref="P44:P49" si="7">+N44*M44/K44</f>
        <v>4.0639305240123685E-2</v>
      </c>
      <c r="Q44" s="144">
        <f t="shared" ref="Q44:Q49" si="8">+O44*L44/J44</f>
        <v>1</v>
      </c>
      <c r="R44" s="146">
        <f>+N44*M44+O44*L44</f>
        <v>0.53749681407414551</v>
      </c>
    </row>
    <row r="45" spans="2:18" x14ac:dyDescent="0.2">
      <c r="B45" s="118"/>
      <c r="C45" s="119" t="s">
        <v>49</v>
      </c>
      <c r="D45" s="125">
        <v>180</v>
      </c>
      <c r="E45" s="150">
        <f>26.84+32.61</f>
        <v>59.45</v>
      </c>
      <c r="F45" s="113">
        <f t="shared" si="3"/>
        <v>3.6969783653696672E-2</v>
      </c>
      <c r="G45" s="142">
        <f>SUM(E46:E$51)/$E$52</f>
        <v>0.43477584931004254</v>
      </c>
      <c r="J45" s="143">
        <f>SUM($F$25:F30)</f>
        <v>0.55591334527821989</v>
      </c>
      <c r="K45" s="143">
        <f t="shared" si="4"/>
        <v>0.44408665472178011</v>
      </c>
      <c r="L45" s="143">
        <f>SUM($F$40:F45)</f>
        <v>0.56522415068995757</v>
      </c>
      <c r="M45" s="143">
        <v>1</v>
      </c>
      <c r="N45" s="144">
        <f t="shared" si="5"/>
        <v>1.6472766424386089E-2</v>
      </c>
      <c r="O45" s="145">
        <f t="shared" si="6"/>
        <v>0.98352723357561389</v>
      </c>
      <c r="P45" s="144">
        <f t="shared" si="7"/>
        <v>3.7093585788355345E-2</v>
      </c>
      <c r="Q45" s="144">
        <f t="shared" si="8"/>
        <v>1</v>
      </c>
      <c r="R45" s="146">
        <f>+N45*M45+O45*L45</f>
        <v>0.572386111702606</v>
      </c>
    </row>
    <row r="46" spans="2:18" x14ac:dyDescent="0.2">
      <c r="B46" s="118"/>
      <c r="C46" s="119" t="s">
        <v>50</v>
      </c>
      <c r="D46" s="125">
        <v>150</v>
      </c>
      <c r="E46" s="126">
        <v>83.33</v>
      </c>
      <c r="F46" s="113">
        <f t="shared" si="3"/>
        <v>5.1819883462784579E-2</v>
      </c>
      <c r="G46" s="142">
        <f>SUM(E47:E$51)/$E$52</f>
        <v>0.38295596584725794</v>
      </c>
      <c r="J46" s="143">
        <f>SUM($F$25:F31)</f>
        <v>0.60868802546014966</v>
      </c>
      <c r="K46" s="143">
        <f t="shared" si="4"/>
        <v>0.39131197453985034</v>
      </c>
      <c r="L46" s="143">
        <f>SUM($F$40:F46)</f>
        <v>0.61704403415274212</v>
      </c>
      <c r="M46" s="143">
        <v>1</v>
      </c>
      <c r="N46" s="144">
        <f t="shared" si="5"/>
        <v>1.3541997377976464E-2</v>
      </c>
      <c r="O46" s="145">
        <f t="shared" si="6"/>
        <v>0.98645800262202354</v>
      </c>
      <c r="P46" s="144">
        <f t="shared" si="7"/>
        <v>3.4606652131973996E-2</v>
      </c>
      <c r="Q46" s="144">
        <f t="shared" si="8"/>
        <v>1</v>
      </c>
      <c r="R46" s="146">
        <f>+N46*M46+O46*L46</f>
        <v>0.62223002283812612</v>
      </c>
    </row>
    <row r="47" spans="2:18" x14ac:dyDescent="0.2">
      <c r="B47" s="118"/>
      <c r="C47" s="119" t="s">
        <v>51</v>
      </c>
      <c r="D47" s="125">
        <v>106</v>
      </c>
      <c r="E47" s="126">
        <v>123.5</v>
      </c>
      <c r="F47" s="113">
        <f t="shared" si="3"/>
        <v>7.6800139297418649E-2</v>
      </c>
      <c r="G47" s="142">
        <f>SUM(E48:E$51)/$E$52</f>
        <v>0.3061558265498393</v>
      </c>
      <c r="J47" s="143">
        <f>SUM($F$25:F32)</f>
        <v>0.68935359787497974</v>
      </c>
      <c r="K47" s="143">
        <f t="shared" si="4"/>
        <v>0.31064640212502026</v>
      </c>
      <c r="L47" s="143">
        <f>SUM($F$40:F47)</f>
        <v>0.69384417345016081</v>
      </c>
      <c r="M47" s="143">
        <v>1</v>
      </c>
      <c r="N47" s="144">
        <f t="shared" si="5"/>
        <v>6.4720231818789298E-3</v>
      </c>
      <c r="O47" s="145">
        <f t="shared" si="6"/>
        <v>0.99352797681812111</v>
      </c>
      <c r="P47" s="144">
        <f t="shared" si="7"/>
        <v>2.0834051634289495E-2</v>
      </c>
      <c r="Q47" s="144">
        <f t="shared" si="8"/>
        <v>1</v>
      </c>
      <c r="R47" s="146">
        <f t="shared" ref="R47" si="9">+N47*M47+O47*L47</f>
        <v>0.69582562105685863</v>
      </c>
    </row>
    <row r="48" spans="2:18" x14ac:dyDescent="0.2">
      <c r="B48" s="118"/>
      <c r="C48" s="119" t="s">
        <v>52</v>
      </c>
      <c r="D48" s="125">
        <v>75</v>
      </c>
      <c r="E48" s="126">
        <v>92.87</v>
      </c>
      <c r="F48" s="113">
        <f t="shared" si="3"/>
        <v>5.7752461024706644E-2</v>
      </c>
      <c r="G48" s="142">
        <f>SUM(E49:E$51)/$E$52</f>
        <v>0.24840336552513265</v>
      </c>
      <c r="J48" s="143">
        <f>SUM($F$25:F33)</f>
        <v>0.74651363847088759</v>
      </c>
      <c r="K48" s="143">
        <f t="shared" si="4"/>
        <v>0.25348636152911241</v>
      </c>
      <c r="L48" s="143">
        <f>SUM($F$40:F48)</f>
        <v>0.75159663447486746</v>
      </c>
      <c r="M48" s="143">
        <v>1</v>
      </c>
      <c r="N48" s="144">
        <f t="shared" si="5"/>
        <v>6.76293076742063E-3</v>
      </c>
      <c r="O48" s="145">
        <f t="shared" si="6"/>
        <v>0.99323706923257937</v>
      </c>
      <c r="P48" s="144">
        <f t="shared" si="7"/>
        <v>2.6679663263239985E-2</v>
      </c>
      <c r="Q48" s="144">
        <f t="shared" si="8"/>
        <v>1</v>
      </c>
      <c r="R48" s="146">
        <f>+N48*M48+O48*L48</f>
        <v>0.75327656923830821</v>
      </c>
    </row>
    <row r="49" spans="2:18" x14ac:dyDescent="0.2">
      <c r="B49" s="118"/>
      <c r="C49" s="119" t="s">
        <v>53</v>
      </c>
      <c r="D49" s="125">
        <v>53</v>
      </c>
      <c r="E49" s="126">
        <v>71.739999999999995</v>
      </c>
      <c r="F49" s="113">
        <f t="shared" si="3"/>
        <v>4.4612485774872986E-2</v>
      </c>
      <c r="G49" s="142">
        <f>SUM(E50:E$51)/$E$52</f>
        <v>0.20379087975025967</v>
      </c>
      <c r="J49" s="143">
        <f>SUM($F$25:F34)</f>
        <v>0.79681998721980696</v>
      </c>
      <c r="K49" s="143">
        <f t="shared" si="4"/>
        <v>0.20318001278019304</v>
      </c>
      <c r="L49" s="143">
        <f>SUM($F$40:F49)</f>
        <v>0.79620912024974044</v>
      </c>
      <c r="M49" s="143">
        <v>1</v>
      </c>
      <c r="N49" s="144">
        <f t="shared" si="5"/>
        <v>-7.672192575173078E-4</v>
      </c>
      <c r="O49" s="145">
        <f t="shared" si="6"/>
        <v>1.0007672192575172</v>
      </c>
      <c r="P49" s="144">
        <f t="shared" si="7"/>
        <v>-3.7760567440622782E-3</v>
      </c>
      <c r="Q49" s="144">
        <f t="shared" si="8"/>
        <v>0.99999999999999989</v>
      </c>
      <c r="R49" s="146">
        <f>+N49*M49+O49*L49</f>
        <v>0.79605276796228952</v>
      </c>
    </row>
    <row r="50" spans="2:18" x14ac:dyDescent="0.2">
      <c r="B50" s="118"/>
      <c r="C50" s="119" t="s">
        <v>54</v>
      </c>
      <c r="D50" s="125">
        <v>38</v>
      </c>
      <c r="E50" s="126">
        <v>50.98</v>
      </c>
      <c r="F50" s="113">
        <f t="shared" si="3"/>
        <v>3.1702600011193544E-2</v>
      </c>
      <c r="G50" s="142">
        <f>SUM(E51:E$51)/$E$52</f>
        <v>0.1720882797390661</v>
      </c>
      <c r="J50" s="143">
        <f>SUM($F$25:F35)</f>
        <v>0.82372104095926646</v>
      </c>
      <c r="K50" s="143">
        <f t="shared" si="4"/>
        <v>0.17627895904073354</v>
      </c>
      <c r="L50" s="143">
        <f>SUM($F$40:F50)</f>
        <v>0.82791172026093396</v>
      </c>
      <c r="M50" s="143">
        <v>1</v>
      </c>
      <c r="N50" s="144">
        <f t="shared" si="5"/>
        <v>5.0617465595809152E-3</v>
      </c>
      <c r="O50" s="145">
        <f t="shared" si="6"/>
        <v>0.99493825344041908</v>
      </c>
      <c r="P50" s="144">
        <f>+N50*M50/K50</f>
        <v>2.8714411448341238E-2</v>
      </c>
      <c r="Q50" s="144">
        <f>+O50*L50/J50</f>
        <v>1</v>
      </c>
      <c r="R50" s="146">
        <f>+N50*M50+O50*L50</f>
        <v>0.82878278751884737</v>
      </c>
    </row>
    <row r="51" spans="2:18" x14ac:dyDescent="0.2">
      <c r="B51" s="127"/>
      <c r="C51" s="128">
        <v>-38</v>
      </c>
      <c r="D51" s="129"/>
      <c r="E51" s="130">
        <f>27.73+249</f>
        <v>276.73</v>
      </c>
      <c r="F51" s="113">
        <f t="shared" si="3"/>
        <v>0.1720882797390661</v>
      </c>
      <c r="G51" s="131"/>
    </row>
    <row r="52" spans="2:18" x14ac:dyDescent="0.2">
      <c r="B52" s="132"/>
      <c r="C52" s="133" t="s">
        <v>55</v>
      </c>
      <c r="D52" s="134"/>
      <c r="E52" s="135">
        <f>SUM(E40:E51)</f>
        <v>1608.07</v>
      </c>
      <c r="F52" s="136">
        <f t="shared" si="3"/>
        <v>1</v>
      </c>
      <c r="G52" s="135"/>
    </row>
    <row r="53" spans="2:18" x14ac:dyDescent="0.2">
      <c r="C53" s="137"/>
      <c r="D53" s="138"/>
      <c r="E53" s="139"/>
      <c r="F53" s="140"/>
      <c r="G53" s="139"/>
    </row>
    <row r="54" spans="2:18" ht="12" thickBot="1" x14ac:dyDescent="0.25">
      <c r="B54" s="106" t="s">
        <v>23</v>
      </c>
      <c r="C54" s="177" t="s">
        <v>24</v>
      </c>
      <c r="D54" s="178"/>
      <c r="E54" s="107" t="s">
        <v>25</v>
      </c>
      <c r="F54" s="108" t="s">
        <v>26</v>
      </c>
      <c r="G54" s="107" t="s">
        <v>27</v>
      </c>
    </row>
    <row r="55" spans="2:18" ht="23.25" thickTop="1" x14ac:dyDescent="0.2">
      <c r="B55" s="109" t="str">
        <f>D10&amp;" "&amp;"("&amp;D11&amp;")"</f>
        <v>SC-04 feed to deck2 (DI-040)</v>
      </c>
      <c r="C55" s="110" t="s">
        <v>43</v>
      </c>
      <c r="D55" s="111">
        <v>1180</v>
      </c>
      <c r="E55" s="112">
        <f>44.51+23.28</f>
        <v>67.789999999999992</v>
      </c>
      <c r="F55" s="113">
        <f>E55/$E$67</f>
        <v>5.3784512853062509E-2</v>
      </c>
      <c r="G55" s="114">
        <f>SUM(E56:E$66)/$E$67</f>
        <v>0.94621548714693748</v>
      </c>
    </row>
    <row r="56" spans="2:18" x14ac:dyDescent="0.2">
      <c r="B56" s="115" t="s">
        <v>44</v>
      </c>
      <c r="C56" s="111" t="s">
        <v>45</v>
      </c>
      <c r="D56" s="111">
        <v>600</v>
      </c>
      <c r="E56" s="112">
        <f>80.86+37.82</f>
        <v>118.68</v>
      </c>
      <c r="F56" s="113">
        <f t="shared" ref="F56:F67" si="10">E56/$E$67</f>
        <v>9.4160583941605841E-2</v>
      </c>
      <c r="G56" s="114">
        <f>SUM(E57:E$66)/$E$67</f>
        <v>0.85205490320533162</v>
      </c>
    </row>
    <row r="57" spans="2:18" x14ac:dyDescent="0.2">
      <c r="B57" s="117">
        <f>FORECAST(0.8,D56:D57,G56:G57)</f>
        <v>493.41115855922772</v>
      </c>
      <c r="C57" s="111" t="s">
        <v>46</v>
      </c>
      <c r="D57" s="111">
        <v>425</v>
      </c>
      <c r="E57" s="112">
        <f>71.54+36.18</f>
        <v>107.72</v>
      </c>
      <c r="F57" s="113">
        <f t="shared" si="10"/>
        <v>8.5464931767692792E-2</v>
      </c>
      <c r="G57" s="114">
        <f>SUM(E58:E$66)/$E$67</f>
        <v>0.76658997143763885</v>
      </c>
    </row>
    <row r="58" spans="2:18" x14ac:dyDescent="0.2">
      <c r="B58" s="118"/>
      <c r="C58" s="111" t="s">
        <v>47</v>
      </c>
      <c r="D58" s="111">
        <v>300</v>
      </c>
      <c r="E58" s="112">
        <f>93.62+48.88</f>
        <v>142.5</v>
      </c>
      <c r="F58" s="113">
        <f t="shared" si="10"/>
        <v>0.11305934623928911</v>
      </c>
      <c r="G58" s="114">
        <f>SUM(E59:E$66)/$E$67</f>
        <v>0.65353062519834981</v>
      </c>
      <c r="H58" s="116"/>
      <c r="J58" s="143">
        <f t="shared" ref="J58:J65" si="11">J43</f>
        <v>0.40387289972560181</v>
      </c>
      <c r="K58" s="143">
        <f>1-J58</f>
        <v>0.59612710027439819</v>
      </c>
      <c r="L58" s="143">
        <f>SUM($F$55:F58)</f>
        <v>0.34646937480165024</v>
      </c>
      <c r="M58" s="143">
        <v>1</v>
      </c>
      <c r="N58" s="144">
        <f>+(L58-J58)/(L58+M58-1)</f>
        <v>-0.16568138224861698</v>
      </c>
      <c r="O58" s="145">
        <f>1-N58</f>
        <v>1.1656813822486169</v>
      </c>
      <c r="P58" s="144">
        <f>+N58*M58/K58</f>
        <v>-0.27792962637054008</v>
      </c>
      <c r="Q58" s="144">
        <f>+O58*L58/J58</f>
        <v>1</v>
      </c>
      <c r="R58" s="146">
        <f>+N58*M58+O58*L58</f>
        <v>0.23819151747698483</v>
      </c>
    </row>
    <row r="59" spans="2:18" x14ac:dyDescent="0.2">
      <c r="B59" s="118"/>
      <c r="C59" s="119" t="s">
        <v>48</v>
      </c>
      <c r="D59" s="120">
        <v>212</v>
      </c>
      <c r="E59" s="121">
        <f>91.3+53.25</f>
        <v>144.55000000000001</v>
      </c>
      <c r="F59" s="122">
        <f t="shared" si="10"/>
        <v>0.11468581402729293</v>
      </c>
      <c r="G59" s="123">
        <f>SUM(E60:E$66)/$E$67</f>
        <v>0.53884481117105687</v>
      </c>
      <c r="H59" s="124">
        <f>SUM(F60:F66)*100</f>
        <v>53.884481117105679</v>
      </c>
      <c r="I59" s="116">
        <f>($I$208-H59)/($I$208*(100-H59))*10000</f>
        <v>-25.526012876345828</v>
      </c>
      <c r="J59" s="143">
        <f t="shared" si="11"/>
        <v>0.51790480009021322</v>
      </c>
      <c r="K59" s="143">
        <f t="shared" ref="K59:K65" si="12">1-J59</f>
        <v>0.48209519990978678</v>
      </c>
      <c r="L59" s="143">
        <f>SUM($F$55:F59)</f>
        <v>0.46115518882894319</v>
      </c>
      <c r="M59" s="143">
        <v>1</v>
      </c>
      <c r="N59" s="144">
        <f t="shared" ref="N59:N65" si="13">+(L59-J59)/(L59+M59-1)</f>
        <v>-0.12305968280521776</v>
      </c>
      <c r="O59" s="145">
        <f t="shared" ref="O59:O65" si="14">1-N59</f>
        <v>1.1230596828052177</v>
      </c>
      <c r="P59" s="144">
        <f t="shared" ref="P59:P65" si="15">+N59*M59/K59</f>
        <v>-0.25526012876345916</v>
      </c>
      <c r="Q59" s="144">
        <f t="shared" ref="Q59:Q65" si="16">+O59*L59/J59</f>
        <v>1</v>
      </c>
      <c r="R59" s="146">
        <f t="shared" ref="R59:R65" si="17">+N59*M59+O59*L59</f>
        <v>0.39484511728499549</v>
      </c>
    </row>
    <row r="60" spans="2:18" x14ac:dyDescent="0.2">
      <c r="B60" s="118"/>
      <c r="C60" s="119" t="s">
        <v>49</v>
      </c>
      <c r="D60" s="125">
        <v>180</v>
      </c>
      <c r="E60" s="126">
        <f>37.06+14.92</f>
        <v>51.980000000000004</v>
      </c>
      <c r="F60" s="113">
        <f t="shared" si="10"/>
        <v>4.1240875912408756E-2</v>
      </c>
      <c r="G60" s="114">
        <f>SUM(E61:E$66)/$E$67</f>
        <v>0.49760393525864804</v>
      </c>
      <c r="J60" s="143">
        <f t="shared" si="11"/>
        <v>0.55591334527821989</v>
      </c>
      <c r="K60" s="143">
        <f t="shared" si="12"/>
        <v>0.44408665472178011</v>
      </c>
      <c r="L60" s="143">
        <f>SUM($F$55:F60)</f>
        <v>0.5023960647413519</v>
      </c>
      <c r="M60" s="143">
        <v>1</v>
      </c>
      <c r="N60" s="144">
        <f t="shared" si="13"/>
        <v>-0.10652408387080071</v>
      </c>
      <c r="O60" s="145">
        <f t="shared" si="14"/>
        <v>1.1065240838708008</v>
      </c>
      <c r="P60" s="144">
        <f t="shared" si="15"/>
        <v>-0.23987229235145099</v>
      </c>
      <c r="Q60" s="144">
        <f t="shared" si="16"/>
        <v>1</v>
      </c>
      <c r="R60" s="146">
        <f t="shared" si="17"/>
        <v>0.44938926140741919</v>
      </c>
    </row>
    <row r="61" spans="2:18" x14ac:dyDescent="0.2">
      <c r="B61" s="118"/>
      <c r="C61" s="119" t="s">
        <v>50</v>
      </c>
      <c r="D61" s="125">
        <v>150</v>
      </c>
      <c r="E61" s="126">
        <v>67.95</v>
      </c>
      <c r="F61" s="113">
        <f t="shared" si="10"/>
        <v>5.3911456680418912E-2</v>
      </c>
      <c r="G61" s="114">
        <f>SUM(E62:E$66)/$E$67</f>
        <v>0.44369247857822913</v>
      </c>
      <c r="J61" s="143">
        <f t="shared" si="11"/>
        <v>0.60868802546014966</v>
      </c>
      <c r="K61" s="143">
        <f t="shared" si="12"/>
        <v>0.39131197453985034</v>
      </c>
      <c r="L61" s="143">
        <f>SUM($F$55:F61)</f>
        <v>0.55630752142177076</v>
      </c>
      <c r="M61" s="143">
        <v>1</v>
      </c>
      <c r="N61" s="144">
        <f t="shared" si="13"/>
        <v>-9.4157461514287236E-2</v>
      </c>
      <c r="O61" s="145">
        <f t="shared" si="14"/>
        <v>1.0941574615142873</v>
      </c>
      <c r="P61" s="144">
        <f t="shared" si="15"/>
        <v>-0.24061993406925106</v>
      </c>
      <c r="Q61" s="144">
        <f t="shared" si="16"/>
        <v>1</v>
      </c>
      <c r="R61" s="146">
        <f t="shared" si="17"/>
        <v>0.51453056394586238</v>
      </c>
    </row>
    <row r="62" spans="2:18" x14ac:dyDescent="0.2">
      <c r="B62" s="118"/>
      <c r="C62" s="119" t="s">
        <v>51</v>
      </c>
      <c r="D62" s="125">
        <v>106</v>
      </c>
      <c r="E62" s="126">
        <v>108.1</v>
      </c>
      <c r="F62" s="113">
        <f t="shared" si="10"/>
        <v>8.5766423357664226E-2</v>
      </c>
      <c r="G62" s="114">
        <f>SUM(E63:E$66)/$E$67</f>
        <v>0.35792605522056486</v>
      </c>
      <c r="J62" s="143">
        <f t="shared" si="11"/>
        <v>0.68935359787497974</v>
      </c>
      <c r="K62" s="143">
        <f t="shared" si="12"/>
        <v>0.31064640212502026</v>
      </c>
      <c r="L62" s="143">
        <f>SUM($F$55:F62)</f>
        <v>0.64207394477943502</v>
      </c>
      <c r="M62" s="143">
        <v>1</v>
      </c>
      <c r="N62" s="144">
        <f t="shared" si="13"/>
        <v>-7.3635838177152954E-2</v>
      </c>
      <c r="O62" s="145">
        <f t="shared" si="14"/>
        <v>1.0736358381771529</v>
      </c>
      <c r="P62" s="144">
        <f t="shared" si="15"/>
        <v>-0.23704069216136636</v>
      </c>
      <c r="Q62" s="144">
        <f t="shared" si="16"/>
        <v>1</v>
      </c>
      <c r="R62" s="146">
        <f t="shared" si="17"/>
        <v>0.61571775969782683</v>
      </c>
    </row>
    <row r="63" spans="2:18" x14ac:dyDescent="0.2">
      <c r="B63" s="118"/>
      <c r="C63" s="119" t="s">
        <v>52</v>
      </c>
      <c r="D63" s="125">
        <v>75</v>
      </c>
      <c r="E63" s="126">
        <v>73.180000000000007</v>
      </c>
      <c r="F63" s="113">
        <f t="shared" si="10"/>
        <v>5.8060933037131071E-2</v>
      </c>
      <c r="G63" s="114">
        <f>SUM(E64:E$66)/$E$67</f>
        <v>0.29986512218343386</v>
      </c>
      <c r="J63" s="143">
        <f t="shared" si="11"/>
        <v>0.74651363847088759</v>
      </c>
      <c r="K63" s="143">
        <f t="shared" si="12"/>
        <v>0.25348636152911241</v>
      </c>
      <c r="L63" s="143">
        <f>SUM($F$55:F63)</f>
        <v>0.70013487781656614</v>
      </c>
      <c r="M63" s="143">
        <v>1</v>
      </c>
      <c r="N63" s="144">
        <f t="shared" si="13"/>
        <v>-6.6242608565592109E-2</v>
      </c>
      <c r="O63" s="145">
        <f t="shared" si="14"/>
        <v>1.0662426085655921</v>
      </c>
      <c r="P63" s="144">
        <f t="shared" si="15"/>
        <v>-0.26132612486918461</v>
      </c>
      <c r="Q63" s="144">
        <f t="shared" si="16"/>
        <v>1</v>
      </c>
      <c r="R63" s="146">
        <f t="shared" si="17"/>
        <v>0.68027102990529542</v>
      </c>
    </row>
    <row r="64" spans="2:18" x14ac:dyDescent="0.2">
      <c r="B64" s="118"/>
      <c r="C64" s="119" t="s">
        <v>53</v>
      </c>
      <c r="D64" s="125">
        <v>53</v>
      </c>
      <c r="E64" s="126">
        <v>65.03</v>
      </c>
      <c r="F64" s="113">
        <f t="shared" si="10"/>
        <v>5.1594731831164704E-2</v>
      </c>
      <c r="G64" s="114">
        <f>SUM(E65:E$66)/$E$67</f>
        <v>0.24827039035226911</v>
      </c>
      <c r="J64" s="143">
        <f t="shared" si="11"/>
        <v>0.79681998721980696</v>
      </c>
      <c r="K64" s="143">
        <f t="shared" si="12"/>
        <v>0.20318001278019304</v>
      </c>
      <c r="L64" s="143">
        <f>SUM($F$55:F64)</f>
        <v>0.75172960964773083</v>
      </c>
      <c r="M64" s="143">
        <v>1</v>
      </c>
      <c r="N64" s="144">
        <f t="shared" si="13"/>
        <v>-5.998217576291294E-2</v>
      </c>
      <c r="O64" s="145">
        <f t="shared" si="14"/>
        <v>1.0599821757629129</v>
      </c>
      <c r="P64" s="144">
        <f t="shared" si="15"/>
        <v>-0.2952169110640015</v>
      </c>
      <c r="Q64" s="144">
        <f t="shared" si="16"/>
        <v>1</v>
      </c>
      <c r="R64" s="146">
        <f t="shared" si="17"/>
        <v>0.73683781145689398</v>
      </c>
    </row>
    <row r="65" spans="2:18" x14ac:dyDescent="0.2">
      <c r="B65" s="118"/>
      <c r="C65" s="119" t="s">
        <v>54</v>
      </c>
      <c r="D65" s="125">
        <v>38</v>
      </c>
      <c r="E65" s="126">
        <v>51.07</v>
      </c>
      <c r="F65" s="113">
        <f t="shared" si="10"/>
        <v>4.0518882894319264E-2</v>
      </c>
      <c r="G65" s="114">
        <f>SUM(E66:E$66)/$E$67</f>
        <v>0.20775150745794985</v>
      </c>
      <c r="J65" s="143">
        <f t="shared" si="11"/>
        <v>0.82372104095926646</v>
      </c>
      <c r="K65" s="143">
        <f t="shared" si="12"/>
        <v>0.17627895904073354</v>
      </c>
      <c r="L65" s="143">
        <f>SUM($F$55:F65)</f>
        <v>0.7922484925420501</v>
      </c>
      <c r="M65" s="143">
        <v>1</v>
      </c>
      <c r="N65" s="144">
        <f t="shared" si="13"/>
        <v>-3.972560214817436E-2</v>
      </c>
      <c r="O65" s="145">
        <f t="shared" si="14"/>
        <v>1.0397256021481744</v>
      </c>
      <c r="P65" s="144">
        <f t="shared" si="15"/>
        <v>-0.2253564598086536</v>
      </c>
      <c r="Q65" s="144">
        <f t="shared" si="16"/>
        <v>1.0000000000000002</v>
      </c>
      <c r="R65" s="146">
        <f t="shared" si="17"/>
        <v>0.78399543881109224</v>
      </c>
    </row>
    <row r="66" spans="2:18" x14ac:dyDescent="0.2">
      <c r="B66" s="127"/>
      <c r="C66" s="128">
        <v>-38</v>
      </c>
      <c r="D66" s="129"/>
      <c r="E66" s="130">
        <f>238.15+23.7</f>
        <v>261.85000000000002</v>
      </c>
      <c r="F66" s="113">
        <f t="shared" si="10"/>
        <v>0.20775150745794985</v>
      </c>
      <c r="G66" s="131"/>
    </row>
    <row r="67" spans="2:18" x14ac:dyDescent="0.2">
      <c r="B67" s="132"/>
      <c r="C67" s="133" t="s">
        <v>55</v>
      </c>
      <c r="D67" s="134"/>
      <c r="E67" s="135">
        <f>SUM(E55:E66)</f>
        <v>1260.4000000000001</v>
      </c>
      <c r="F67" s="136">
        <f t="shared" si="10"/>
        <v>1</v>
      </c>
      <c r="G67" s="135"/>
    </row>
    <row r="68" spans="2:18" x14ac:dyDescent="0.2">
      <c r="C68" s="137"/>
      <c r="D68" s="138"/>
      <c r="E68" s="139"/>
      <c r="F68" s="140"/>
      <c r="G68" s="139"/>
    </row>
    <row r="69" spans="2:18" ht="12" thickBot="1" x14ac:dyDescent="0.25">
      <c r="B69" s="106" t="s">
        <v>23</v>
      </c>
      <c r="C69" s="177" t="s">
        <v>24</v>
      </c>
      <c r="D69" s="178"/>
      <c r="E69" s="107" t="s">
        <v>25</v>
      </c>
      <c r="F69" s="108" t="s">
        <v>26</v>
      </c>
      <c r="G69" s="107" t="s">
        <v>27</v>
      </c>
    </row>
    <row r="70" spans="2:18" ht="23.25" thickTop="1" x14ac:dyDescent="0.2">
      <c r="B70" s="109" t="str">
        <f>E10&amp;" "&amp;"("&amp;E11&amp;")"</f>
        <v>SC-04 feed to deck3 (DI-040)</v>
      </c>
      <c r="C70" s="110" t="s">
        <v>43</v>
      </c>
      <c r="D70" s="111">
        <v>1180</v>
      </c>
      <c r="E70" s="112">
        <f>94.88+119.52</f>
        <v>214.39999999999998</v>
      </c>
      <c r="F70" s="113">
        <f>E70/$E$82</f>
        <v>9.8362159930265605E-2</v>
      </c>
      <c r="G70" s="142">
        <f>SUM(E71:E$81)/$E$82</f>
        <v>0.90163784006973435</v>
      </c>
    </row>
    <row r="71" spans="2:18" x14ac:dyDescent="0.2">
      <c r="B71" s="115" t="s">
        <v>44</v>
      </c>
      <c r="C71" s="111" t="s">
        <v>45</v>
      </c>
      <c r="D71" s="111">
        <v>600</v>
      </c>
      <c r="E71" s="112">
        <f>109.09+159.04</f>
        <v>268.13</v>
      </c>
      <c r="F71" s="113">
        <f t="shared" ref="F71:F82" si="18">E71/$E$82</f>
        <v>0.12301234114786437</v>
      </c>
      <c r="G71" s="142">
        <f>SUM(E72:E$81)/$E$82</f>
        <v>0.77862549892186994</v>
      </c>
    </row>
    <row r="72" spans="2:18" x14ac:dyDescent="0.2">
      <c r="B72" s="117">
        <f>FORECAST(0.8,D70:D71,G70:G71)</f>
        <v>700.78021855070392</v>
      </c>
      <c r="C72" s="111" t="s">
        <v>46</v>
      </c>
      <c r="D72" s="111">
        <v>425</v>
      </c>
      <c r="E72" s="112">
        <f>84.25+125.03</f>
        <v>209.28</v>
      </c>
      <c r="F72" s="113">
        <f t="shared" si="18"/>
        <v>9.6013212827453301E-2</v>
      </c>
      <c r="G72" s="142">
        <f>SUM(E73:E$81)/$E$82</f>
        <v>0.68261228609441649</v>
      </c>
    </row>
    <row r="73" spans="2:18" x14ac:dyDescent="0.2">
      <c r="B73" s="118"/>
      <c r="C73" s="111" t="s">
        <v>47</v>
      </c>
      <c r="D73" s="111">
        <v>300</v>
      </c>
      <c r="E73" s="112">
        <f>105.83+156.27</f>
        <v>262.10000000000002</v>
      </c>
      <c r="F73" s="113">
        <f t="shared" si="18"/>
        <v>0.12024590539982566</v>
      </c>
      <c r="G73" s="142">
        <f>SUM(E74:E$81)/$E$82</f>
        <v>0.56236638069459088</v>
      </c>
      <c r="H73" s="116"/>
      <c r="J73" s="143">
        <f t="shared" ref="J73:J80" si="19">J58</f>
        <v>0.40387289972560181</v>
      </c>
      <c r="K73" s="143">
        <f>1-J73</f>
        <v>0.59612710027439819</v>
      </c>
      <c r="L73" s="143">
        <f>SUM($F$70:F73)</f>
        <v>0.43763361930540895</v>
      </c>
      <c r="M73" s="143">
        <v>1</v>
      </c>
      <c r="N73" s="144">
        <f>+(L73-J73)/(L73+M73-1)</f>
        <v>7.7143798123623444E-2</v>
      </c>
      <c r="O73" s="145">
        <f>1-N73</f>
        <v>0.92285620187637651</v>
      </c>
      <c r="P73" s="144">
        <f>+N73*M73/K73</f>
        <v>0.1294083058597974</v>
      </c>
      <c r="Q73" s="144">
        <f>+O73*L73/J73</f>
        <v>1</v>
      </c>
      <c r="R73" s="146">
        <f>+N73*M73+O73*L73</f>
        <v>0.48101669784922524</v>
      </c>
    </row>
    <row r="74" spans="2:18" x14ac:dyDescent="0.2">
      <c r="B74" s="118"/>
      <c r="C74" s="119" t="s">
        <v>48</v>
      </c>
      <c r="D74" s="120">
        <v>212</v>
      </c>
      <c r="E74" s="121">
        <f>96.07+143.5</f>
        <v>239.57</v>
      </c>
      <c r="F74" s="122">
        <f t="shared" si="18"/>
        <v>0.10990962058998943</v>
      </c>
      <c r="G74" s="148">
        <f>SUM(E75:E$81)/$E$82</f>
        <v>0.45245676010460145</v>
      </c>
      <c r="H74" s="124">
        <f>SUM(F75:F81)*100</f>
        <v>45.245676010460144</v>
      </c>
      <c r="I74" s="116">
        <f>($I$208-H74)/($I$208*(100-H74))*10000</f>
        <v>11.228044093307789</v>
      </c>
      <c r="J74" s="143">
        <f t="shared" si="19"/>
        <v>0.51790480009021322</v>
      </c>
      <c r="K74" s="143">
        <f t="shared" ref="K74:K80" si="20">1-J74</f>
        <v>0.48209519990978678</v>
      </c>
      <c r="L74" s="143">
        <f>SUM($F$70:F74)</f>
        <v>0.54754323989539833</v>
      </c>
      <c r="M74" s="143">
        <v>1</v>
      </c>
      <c r="N74" s="144">
        <f t="shared" ref="N74:N80" si="21">+(L74-J74)/(L74+M74-1)</f>
        <v>5.4129861617590556E-2</v>
      </c>
      <c r="O74" s="145">
        <f t="shared" ref="O74:O80" si="22">1-N74</f>
        <v>0.94587013838240941</v>
      </c>
      <c r="P74" s="144">
        <f t="shared" ref="P74:P80" si="23">+N74*M74/K74</f>
        <v>0.11228044093307657</v>
      </c>
      <c r="Q74" s="144">
        <f t="shared" ref="Q74:Q80" si="24">+O74*L74/J74</f>
        <v>1</v>
      </c>
      <c r="R74" s="146">
        <f t="shared" ref="R74:R80" si="25">+N74*M74+O74*L74</f>
        <v>0.57203466170780382</v>
      </c>
    </row>
    <row r="75" spans="2:18" x14ac:dyDescent="0.2">
      <c r="B75" s="118"/>
      <c r="C75" s="119" t="s">
        <v>49</v>
      </c>
      <c r="D75" s="125">
        <v>180</v>
      </c>
      <c r="E75" s="126">
        <f>27.12+55.09</f>
        <v>82.210000000000008</v>
      </c>
      <c r="F75" s="113">
        <f t="shared" si="18"/>
        <v>3.7716199476992243E-2</v>
      </c>
      <c r="G75" s="142">
        <f>SUM(E76:E$81)/$E$82</f>
        <v>0.41474056062760922</v>
      </c>
      <c r="J75" s="143">
        <f t="shared" si="19"/>
        <v>0.55591334527821989</v>
      </c>
      <c r="K75" s="143">
        <f t="shared" si="20"/>
        <v>0.44408665472178011</v>
      </c>
      <c r="L75" s="143">
        <f>SUM($F$70:F75)</f>
        <v>0.58525943937239056</v>
      </c>
      <c r="M75" s="143">
        <v>1</v>
      </c>
      <c r="N75" s="144">
        <f t="shared" si="21"/>
        <v>5.0142026116896575E-2</v>
      </c>
      <c r="O75" s="145">
        <f t="shared" si="22"/>
        <v>0.94985797388310345</v>
      </c>
      <c r="P75" s="144">
        <f t="shared" si="23"/>
        <v>0.11291045471364257</v>
      </c>
      <c r="Q75" s="144">
        <f t="shared" si="24"/>
        <v>1</v>
      </c>
      <c r="R75" s="146">
        <f t="shared" si="25"/>
        <v>0.60605537139511645</v>
      </c>
    </row>
    <row r="76" spans="2:18" x14ac:dyDescent="0.2">
      <c r="B76" s="118"/>
      <c r="C76" s="119" t="s">
        <v>50</v>
      </c>
      <c r="D76" s="125">
        <v>150</v>
      </c>
      <c r="E76" s="126">
        <v>110.94</v>
      </c>
      <c r="F76" s="113">
        <f t="shared" si="18"/>
        <v>5.0896912419140239E-2</v>
      </c>
      <c r="G76" s="142">
        <f>SUM(E77:E$81)/$E$82</f>
        <v>0.36384364820846898</v>
      </c>
      <c r="J76" s="143">
        <f t="shared" si="19"/>
        <v>0.60868802546014966</v>
      </c>
      <c r="K76" s="143">
        <f t="shared" si="20"/>
        <v>0.39131197453985034</v>
      </c>
      <c r="L76" s="143">
        <f>SUM($F$70:F76)</f>
        <v>0.63615635179153074</v>
      </c>
      <c r="M76" s="143">
        <v>1</v>
      </c>
      <c r="N76" s="144">
        <f t="shared" si="21"/>
        <v>4.3178577489677385E-2</v>
      </c>
      <c r="O76" s="145">
        <f t="shared" si="22"/>
        <v>0.95682142251032265</v>
      </c>
      <c r="P76" s="144">
        <f t="shared" si="23"/>
        <v>0.1103431029435062</v>
      </c>
      <c r="Q76" s="144">
        <f t="shared" si="24"/>
        <v>1</v>
      </c>
      <c r="R76" s="146">
        <f t="shared" si="25"/>
        <v>0.65186660294982701</v>
      </c>
    </row>
    <row r="77" spans="2:18" x14ac:dyDescent="0.2">
      <c r="B77" s="118"/>
      <c r="C77" s="119" t="s">
        <v>51</v>
      </c>
      <c r="D77" s="125">
        <v>106</v>
      </c>
      <c r="E77" s="126">
        <v>180.86</v>
      </c>
      <c r="F77" s="113">
        <f t="shared" si="18"/>
        <v>8.2974721291920905E-2</v>
      </c>
      <c r="G77" s="142">
        <f>SUM(E78:E$81)/$E$82</f>
        <v>0.28086892691654808</v>
      </c>
      <c r="J77" s="143">
        <f t="shared" si="19"/>
        <v>0.68935359787497974</v>
      </c>
      <c r="K77" s="143">
        <f t="shared" si="20"/>
        <v>0.31064640212502026</v>
      </c>
      <c r="L77" s="143">
        <f>SUM($F$70:F77)</f>
        <v>0.7191310730834517</v>
      </c>
      <c r="M77" s="143">
        <v>1</v>
      </c>
      <c r="N77" s="144">
        <f t="shared" si="21"/>
        <v>4.1407576898038485E-2</v>
      </c>
      <c r="O77" s="145">
        <f t="shared" si="22"/>
        <v>0.95859242310196147</v>
      </c>
      <c r="P77" s="144">
        <f t="shared" si="23"/>
        <v>0.13329488645219822</v>
      </c>
      <c r="Q77" s="144">
        <f t="shared" si="24"/>
        <v>1</v>
      </c>
      <c r="R77" s="146">
        <f t="shared" si="25"/>
        <v>0.73076117477301827</v>
      </c>
    </row>
    <row r="78" spans="2:18" x14ac:dyDescent="0.2">
      <c r="B78" s="118"/>
      <c r="C78" s="119" t="s">
        <v>52</v>
      </c>
      <c r="D78" s="125">
        <v>75</v>
      </c>
      <c r="E78" s="126">
        <v>125.14</v>
      </c>
      <c r="F78" s="113">
        <f t="shared" si="18"/>
        <v>5.7411570399596268E-2</v>
      </c>
      <c r="G78" s="142">
        <f>SUM(E79:E$81)/$E$82</f>
        <v>0.22345735651695181</v>
      </c>
      <c r="J78" s="143">
        <f t="shared" si="19"/>
        <v>0.74651363847088759</v>
      </c>
      <c r="K78" s="143">
        <f t="shared" si="20"/>
        <v>0.25348636152911241</v>
      </c>
      <c r="L78" s="143">
        <f>SUM($F$70:F78)</f>
        <v>0.77654264348304802</v>
      </c>
      <c r="M78" s="143">
        <v>1</v>
      </c>
      <c r="N78" s="144">
        <f t="shared" si="21"/>
        <v>3.8670130049098805E-2</v>
      </c>
      <c r="O78" s="145">
        <f t="shared" si="22"/>
        <v>0.96132986995090119</v>
      </c>
      <c r="P78" s="144">
        <f t="shared" si="23"/>
        <v>0.15255309917199478</v>
      </c>
      <c r="Q78" s="144">
        <f t="shared" si="24"/>
        <v>1</v>
      </c>
      <c r="R78" s="146">
        <f t="shared" si="25"/>
        <v>0.78518376851998639</v>
      </c>
    </row>
    <row r="79" spans="2:18" x14ac:dyDescent="0.2">
      <c r="B79" s="118"/>
      <c r="C79" s="119" t="s">
        <v>53</v>
      </c>
      <c r="D79" s="125">
        <v>53</v>
      </c>
      <c r="E79" s="126">
        <v>80.38</v>
      </c>
      <c r="F79" s="113">
        <f t="shared" si="18"/>
        <v>3.6876634399229245E-2</v>
      </c>
      <c r="G79" s="142">
        <f>SUM(E80:E$81)/$E$82</f>
        <v>0.18658072211772256</v>
      </c>
      <c r="J79" s="143">
        <f t="shared" si="19"/>
        <v>0.79681998721980696</v>
      </c>
      <c r="K79" s="143">
        <f t="shared" si="20"/>
        <v>0.20318001278019304</v>
      </c>
      <c r="L79" s="143">
        <f>SUM($F$70:F79)</f>
        <v>0.8134192778822773</v>
      </c>
      <c r="M79" s="143">
        <v>1</v>
      </c>
      <c r="N79" s="144">
        <f t="shared" si="21"/>
        <v>2.0406807551557302E-2</v>
      </c>
      <c r="O79" s="145">
        <f t="shared" si="22"/>
        <v>0.97959319244844267</v>
      </c>
      <c r="P79" s="144">
        <f t="shared" si="23"/>
        <v>0.10043708174009257</v>
      </c>
      <c r="Q79" s="144">
        <f t="shared" si="24"/>
        <v>1</v>
      </c>
      <c r="R79" s="146">
        <f t="shared" si="25"/>
        <v>0.81722679477136428</v>
      </c>
    </row>
    <row r="80" spans="2:18" x14ac:dyDescent="0.2">
      <c r="B80" s="118"/>
      <c r="C80" s="119" t="s">
        <v>54</v>
      </c>
      <c r="D80" s="125">
        <v>38</v>
      </c>
      <c r="E80" s="126">
        <v>49.65</v>
      </c>
      <c r="F80" s="113">
        <f t="shared" si="18"/>
        <v>2.2778363995045185E-2</v>
      </c>
      <c r="G80" s="142">
        <f>SUM(E81:E$81)/$E$82</f>
        <v>0.16380235812267741</v>
      </c>
      <c r="J80" s="143">
        <f t="shared" si="19"/>
        <v>0.82372104095926646</v>
      </c>
      <c r="K80" s="143">
        <f t="shared" si="20"/>
        <v>0.17627895904073354</v>
      </c>
      <c r="L80" s="143">
        <f>SUM($F$70:F80)</f>
        <v>0.83619764187732248</v>
      </c>
      <c r="M80" s="143">
        <v>1</v>
      </c>
      <c r="N80" s="144">
        <f t="shared" si="21"/>
        <v>1.4920636334306299E-2</v>
      </c>
      <c r="O80" s="145">
        <f t="shared" si="22"/>
        <v>0.98507936366569371</v>
      </c>
      <c r="P80" s="144">
        <f t="shared" si="23"/>
        <v>8.464218540602185E-2</v>
      </c>
      <c r="Q80" s="144">
        <f t="shared" si="24"/>
        <v>1</v>
      </c>
      <c r="R80" s="146">
        <f t="shared" si="25"/>
        <v>0.83864167729357275</v>
      </c>
    </row>
    <row r="81" spans="2:18" x14ac:dyDescent="0.2">
      <c r="B81" s="127"/>
      <c r="C81" s="128">
        <v>-38</v>
      </c>
      <c r="D81" s="129"/>
      <c r="E81" s="130">
        <f>340.52+16.52</f>
        <v>357.03999999999996</v>
      </c>
      <c r="F81" s="113">
        <f t="shared" si="18"/>
        <v>0.16380235812267741</v>
      </c>
      <c r="G81" s="131"/>
    </row>
    <row r="82" spans="2:18" x14ac:dyDescent="0.2">
      <c r="B82" s="132"/>
      <c r="C82" s="133" t="s">
        <v>55</v>
      </c>
      <c r="D82" s="134"/>
      <c r="E82" s="135">
        <f>SUM(E70:E81)</f>
        <v>2179.7000000000003</v>
      </c>
      <c r="F82" s="151">
        <f t="shared" si="18"/>
        <v>1</v>
      </c>
      <c r="G82" s="135"/>
    </row>
    <row r="83" spans="2:18" x14ac:dyDescent="0.2">
      <c r="C83" s="137"/>
      <c r="D83" s="138"/>
      <c r="E83" s="139"/>
      <c r="F83" s="152"/>
      <c r="G83" s="139"/>
    </row>
    <row r="84" spans="2:18" ht="12" thickBot="1" x14ac:dyDescent="0.25">
      <c r="B84" s="106" t="s">
        <v>23</v>
      </c>
      <c r="C84" s="177" t="s">
        <v>24</v>
      </c>
      <c r="D84" s="178"/>
      <c r="E84" s="107" t="s">
        <v>25</v>
      </c>
      <c r="F84" s="108" t="s">
        <v>26</v>
      </c>
      <c r="G84" s="107" t="s">
        <v>27</v>
      </c>
    </row>
    <row r="85" spans="2:18" ht="23.25" thickTop="1" x14ac:dyDescent="0.2">
      <c r="B85" s="109" t="str">
        <f>F10&amp;" "&amp;"("&amp;F11&amp;")"</f>
        <v>SC-04 feed to deck4 (DI-040)</v>
      </c>
      <c r="C85" s="110" t="s">
        <v>43</v>
      </c>
      <c r="D85" s="111">
        <v>1180</v>
      </c>
      <c r="E85" s="112">
        <f>37.83+23.87</f>
        <v>61.7</v>
      </c>
      <c r="F85" s="113">
        <f t="shared" ref="F85:F96" si="26">E85/$E$97</f>
        <v>4.7907074252082828E-2</v>
      </c>
      <c r="G85" s="114">
        <f>SUM(E86:E$96)/$E$97</f>
        <v>0.95209292574791715</v>
      </c>
    </row>
    <row r="86" spans="2:18" x14ac:dyDescent="0.2">
      <c r="B86" s="115" t="s">
        <v>44</v>
      </c>
      <c r="C86" s="111" t="s">
        <v>45</v>
      </c>
      <c r="D86" s="111">
        <v>600</v>
      </c>
      <c r="E86" s="112">
        <f>63.38+41.42</f>
        <v>104.80000000000001</v>
      </c>
      <c r="F86" s="113">
        <f t="shared" si="26"/>
        <v>8.1372145569177975E-2</v>
      </c>
      <c r="G86" s="114">
        <f>SUM(E87:E$96)/$E$97</f>
        <v>0.87072078017873922</v>
      </c>
    </row>
    <row r="87" spans="2:18" x14ac:dyDescent="0.2">
      <c r="B87" s="117">
        <f>FORECAST(0.8,D86:D87,G86:G87)</f>
        <v>441.28895748282412</v>
      </c>
      <c r="C87" s="111" t="s">
        <v>46</v>
      </c>
      <c r="D87" s="111">
        <v>425</v>
      </c>
      <c r="E87" s="112">
        <f>61.1+39.33</f>
        <v>100.43</v>
      </c>
      <c r="F87" s="113">
        <f t="shared" si="26"/>
        <v>7.7979051331226568E-2</v>
      </c>
      <c r="G87" s="114">
        <f>SUM(E88:E$96)/$E$97</f>
        <v>0.79274172884751259</v>
      </c>
    </row>
    <row r="88" spans="2:18" x14ac:dyDescent="0.2">
      <c r="B88" s="118"/>
      <c r="C88" s="111" t="s">
        <v>47</v>
      </c>
      <c r="D88" s="111">
        <v>300</v>
      </c>
      <c r="E88" s="112">
        <f>83.58+60.88</f>
        <v>144.46</v>
      </c>
      <c r="F88" s="113">
        <f t="shared" si="26"/>
        <v>0.11216622279507109</v>
      </c>
      <c r="G88" s="114">
        <f>SUM(E89:E$96)/$E$97</f>
        <v>0.68057550605244155</v>
      </c>
      <c r="H88" s="116"/>
      <c r="J88" s="143">
        <f t="shared" ref="J88:J95" si="27">J73</f>
        <v>0.40387289972560181</v>
      </c>
      <c r="K88" s="143">
        <f>1-J88</f>
        <v>0.59612710027439819</v>
      </c>
      <c r="L88" s="143">
        <f>SUM($F$85:F88)</f>
        <v>0.31942449394755845</v>
      </c>
      <c r="M88" s="143">
        <v>1</v>
      </c>
      <c r="N88" s="144">
        <f>+(L88-J88)/(L88+M88-1)</f>
        <v>-0.26437673809669604</v>
      </c>
      <c r="O88" s="145">
        <f>1-N88</f>
        <v>1.2643767380966962</v>
      </c>
      <c r="P88" s="144">
        <f>+N88*M88/K88</f>
        <v>-0.44349055423751582</v>
      </c>
      <c r="Q88" s="144">
        <f>+O88*L88/J88</f>
        <v>1</v>
      </c>
      <c r="R88" s="146">
        <f>+N88*M88+O88*L88</f>
        <v>0.13949616162890577</v>
      </c>
    </row>
    <row r="89" spans="2:18" x14ac:dyDescent="0.2">
      <c r="B89" s="118"/>
      <c r="C89" s="119" t="s">
        <v>48</v>
      </c>
      <c r="D89" s="120">
        <v>212</v>
      </c>
      <c r="E89" s="121">
        <f>83.76+60.28</f>
        <v>144.04000000000002</v>
      </c>
      <c r="F89" s="122">
        <f t="shared" si="26"/>
        <v>0.11184011305137782</v>
      </c>
      <c r="G89" s="123">
        <f>SUM(E90:E$96)/$E$97</f>
        <v>0.56873539300106368</v>
      </c>
      <c r="H89" s="124">
        <f>SUM(F90:F96)*100</f>
        <v>56.873539300106366</v>
      </c>
      <c r="I89" s="116">
        <f>($I$208-H89)/($I$208*(100-H89))*10000</f>
        <v>-41.671850484110081</v>
      </c>
      <c r="J89" s="143">
        <f t="shared" si="27"/>
        <v>0.51790480009021322</v>
      </c>
      <c r="K89" s="143">
        <f t="shared" ref="K89:K95" si="28">1-J89</f>
        <v>0.48209519990978678</v>
      </c>
      <c r="L89" s="143">
        <f>SUM($F$85:F89)</f>
        <v>0.43126460699893626</v>
      </c>
      <c r="M89" s="143">
        <v>1</v>
      </c>
      <c r="N89" s="144">
        <f t="shared" ref="N89:N95" si="29">+(L89-J89)/(L89+M89-1)</f>
        <v>-0.20089799089747853</v>
      </c>
      <c r="O89" s="145">
        <f t="shared" ref="O89:O95" si="30">1-N89</f>
        <v>1.2008979908974786</v>
      </c>
      <c r="P89" s="144">
        <f t="shared" ref="P89:P95" si="31">+N89*M89/K89</f>
        <v>-0.41671850484110201</v>
      </c>
      <c r="Q89" s="144">
        <f t="shared" ref="Q89:Q95" si="32">+O89*L89/J89</f>
        <v>1</v>
      </c>
      <c r="R89" s="146">
        <f t="shared" ref="R89:R95" si="33">+N89*M89+O89*L89</f>
        <v>0.31700680919273472</v>
      </c>
    </row>
    <row r="90" spans="2:18" x14ac:dyDescent="0.2">
      <c r="B90" s="118"/>
      <c r="C90" s="119" t="s">
        <v>49</v>
      </c>
      <c r="D90" s="125">
        <v>180</v>
      </c>
      <c r="E90" s="126">
        <f>27.5+24.18</f>
        <v>51.68</v>
      </c>
      <c r="F90" s="113">
        <f t="shared" si="26"/>
        <v>4.0127027509686233E-2</v>
      </c>
      <c r="G90" s="114">
        <f>SUM(E91:E$96)/$E$97</f>
        <v>0.52860836549137746</v>
      </c>
      <c r="J90" s="143">
        <f t="shared" si="27"/>
        <v>0.55591334527821989</v>
      </c>
      <c r="K90" s="143">
        <f t="shared" si="28"/>
        <v>0.44408665472178011</v>
      </c>
      <c r="L90" s="143">
        <f>SUM($F$85:F90)</f>
        <v>0.47139163450862248</v>
      </c>
      <c r="M90" s="143">
        <v>1</v>
      </c>
      <c r="N90" s="144">
        <f t="shared" si="29"/>
        <v>-0.17930252592985163</v>
      </c>
      <c r="O90" s="145">
        <f t="shared" si="30"/>
        <v>1.1793025259298515</v>
      </c>
      <c r="P90" s="144">
        <f t="shared" si="31"/>
        <v>-0.40375571754612732</v>
      </c>
      <c r="Q90" s="144">
        <f t="shared" si="32"/>
        <v>1</v>
      </c>
      <c r="R90" s="146">
        <f t="shared" si="33"/>
        <v>0.37661081934836826</v>
      </c>
    </row>
    <row r="91" spans="2:18" x14ac:dyDescent="0.2">
      <c r="B91" s="118"/>
      <c r="C91" s="119" t="s">
        <v>50</v>
      </c>
      <c r="D91" s="125">
        <v>150</v>
      </c>
      <c r="E91" s="126">
        <v>75.47</v>
      </c>
      <c r="F91" s="113">
        <f t="shared" si="26"/>
        <v>5.8598815134597908E-2</v>
      </c>
      <c r="G91" s="114">
        <f>SUM(E92:E$96)/$E$97</f>
        <v>0.47000955035677949</v>
      </c>
      <c r="J91" s="143">
        <f t="shared" si="27"/>
        <v>0.60868802546014966</v>
      </c>
      <c r="K91" s="143">
        <f t="shared" si="28"/>
        <v>0.39131197453985034</v>
      </c>
      <c r="L91" s="143">
        <f>SUM($F$85:F91)</f>
        <v>0.5299904496432204</v>
      </c>
      <c r="M91" s="143">
        <v>1</v>
      </c>
      <c r="N91" s="144">
        <f t="shared" si="29"/>
        <v>-0.14848866780506514</v>
      </c>
      <c r="O91" s="145">
        <f t="shared" si="30"/>
        <v>1.1484886678050652</v>
      </c>
      <c r="P91" s="144">
        <f t="shared" si="31"/>
        <v>-0.37946364401364208</v>
      </c>
      <c r="Q91" s="144">
        <f t="shared" si="32"/>
        <v>1</v>
      </c>
      <c r="R91" s="146">
        <f t="shared" si="33"/>
        <v>0.46019935765508452</v>
      </c>
    </row>
    <row r="92" spans="2:18" x14ac:dyDescent="0.2">
      <c r="B92" s="118"/>
      <c r="C92" s="119" t="s">
        <v>51</v>
      </c>
      <c r="D92" s="125">
        <v>106</v>
      </c>
      <c r="E92" s="126">
        <v>115.67</v>
      </c>
      <c r="F92" s="113">
        <f t="shared" si="26"/>
        <v>8.9812176316668088E-2</v>
      </c>
      <c r="G92" s="114">
        <f>SUM(E93:E$96)/$E$97</f>
        <v>0.38019737404011145</v>
      </c>
      <c r="J92" s="143">
        <f t="shared" si="27"/>
        <v>0.68935359787497974</v>
      </c>
      <c r="K92" s="143">
        <f t="shared" si="28"/>
        <v>0.31064640212502026</v>
      </c>
      <c r="L92" s="143">
        <f>SUM($F$85:F92)</f>
        <v>0.61980262595988844</v>
      </c>
      <c r="M92" s="143">
        <v>1</v>
      </c>
      <c r="N92" s="144">
        <f t="shared" si="29"/>
        <v>-0.11221470997703133</v>
      </c>
      <c r="O92" s="145">
        <f t="shared" si="30"/>
        <v>1.1122147099770314</v>
      </c>
      <c r="P92" s="144">
        <f t="shared" si="31"/>
        <v>-0.36122971072386761</v>
      </c>
      <c r="Q92" s="144">
        <f t="shared" si="32"/>
        <v>1.0000000000000002</v>
      </c>
      <c r="R92" s="146">
        <f t="shared" si="33"/>
        <v>0.57713888789794854</v>
      </c>
    </row>
    <row r="93" spans="2:18" x14ac:dyDescent="0.2">
      <c r="B93" s="118"/>
      <c r="C93" s="119" t="s">
        <v>52</v>
      </c>
      <c r="D93" s="125">
        <v>75</v>
      </c>
      <c r="E93" s="126">
        <v>85.2</v>
      </c>
      <c r="F93" s="113">
        <f t="shared" si="26"/>
        <v>6.6153690863492015E-2</v>
      </c>
      <c r="G93" s="114">
        <f>SUM(E94:E$96)/$E$97</f>
        <v>0.31404368317661946</v>
      </c>
      <c r="J93" s="143">
        <f t="shared" si="27"/>
        <v>0.74651363847088759</v>
      </c>
      <c r="K93" s="143">
        <f t="shared" si="28"/>
        <v>0.25348636152911241</v>
      </c>
      <c r="L93" s="143">
        <f>SUM($F$85:F93)</f>
        <v>0.68595631682338043</v>
      </c>
      <c r="M93" s="143">
        <v>1</v>
      </c>
      <c r="N93" s="144">
        <f t="shared" si="29"/>
        <v>-8.8281600682597716E-2</v>
      </c>
      <c r="O93" s="145">
        <f t="shared" si="30"/>
        <v>1.0882816006825977</v>
      </c>
      <c r="P93" s="144">
        <f t="shared" si="31"/>
        <v>-0.34826962740738515</v>
      </c>
      <c r="Q93" s="144">
        <f t="shared" si="32"/>
        <v>1</v>
      </c>
      <c r="R93" s="146">
        <f t="shared" si="33"/>
        <v>0.65823203778828987</v>
      </c>
    </row>
    <row r="94" spans="2:18" x14ac:dyDescent="0.2">
      <c r="B94" s="118"/>
      <c r="C94" s="119" t="s">
        <v>53</v>
      </c>
      <c r="D94" s="125">
        <v>53</v>
      </c>
      <c r="E94" s="150">
        <v>71.52</v>
      </c>
      <c r="F94" s="113">
        <f t="shared" si="26"/>
        <v>5.5531830640339772E-2</v>
      </c>
      <c r="G94" s="114">
        <f>SUM(E95:E$96)/$E$97</f>
        <v>0.25851185253627967</v>
      </c>
      <c r="J94" s="143">
        <f t="shared" si="27"/>
        <v>0.79681998721980696</v>
      </c>
      <c r="K94" s="143">
        <f t="shared" si="28"/>
        <v>0.20318001278019304</v>
      </c>
      <c r="L94" s="143">
        <f>SUM($F$85:F94)</f>
        <v>0.74148814746372016</v>
      </c>
      <c r="M94" s="143">
        <v>1</v>
      </c>
      <c r="N94" s="144">
        <f t="shared" si="29"/>
        <v>-7.4622689446015841E-2</v>
      </c>
      <c r="O94" s="145">
        <f t="shared" si="30"/>
        <v>1.0746226894460158</v>
      </c>
      <c r="P94" s="144">
        <f t="shared" si="31"/>
        <v>-0.36727377080512918</v>
      </c>
      <c r="Q94" s="144">
        <f t="shared" si="32"/>
        <v>1</v>
      </c>
      <c r="R94" s="146">
        <f t="shared" si="33"/>
        <v>0.72219729777379116</v>
      </c>
    </row>
    <row r="95" spans="2:18" x14ac:dyDescent="0.2">
      <c r="B95" s="118"/>
      <c r="C95" s="119" t="s">
        <v>54</v>
      </c>
      <c r="D95" s="125">
        <v>38</v>
      </c>
      <c r="E95" s="126">
        <v>46.44</v>
      </c>
      <c r="F95" s="113">
        <f t="shared" si="26"/>
        <v>3.6058420231227337E-2</v>
      </c>
      <c r="G95" s="114">
        <f>SUM(E96:E$96)/$E$97</f>
        <v>0.22245343230505235</v>
      </c>
      <c r="J95" s="143">
        <f t="shared" si="27"/>
        <v>0.82372104095926646</v>
      </c>
      <c r="K95" s="143">
        <f t="shared" si="28"/>
        <v>0.17627895904073354</v>
      </c>
      <c r="L95" s="143">
        <f>SUM($F$85:F95)</f>
        <v>0.77754656769494745</v>
      </c>
      <c r="M95" s="143">
        <v>1</v>
      </c>
      <c r="N95" s="144">
        <f t="shared" si="29"/>
        <v>-5.9384833246970865E-2</v>
      </c>
      <c r="O95" s="145">
        <f t="shared" si="30"/>
        <v>1.0593848332469709</v>
      </c>
      <c r="P95" s="144">
        <f t="shared" si="31"/>
        <v>-0.33687987250508189</v>
      </c>
      <c r="Q95" s="144">
        <f t="shared" si="32"/>
        <v>1</v>
      </c>
      <c r="R95" s="146">
        <f t="shared" si="33"/>
        <v>0.7643362077122956</v>
      </c>
    </row>
    <row r="96" spans="2:18" x14ac:dyDescent="0.2">
      <c r="B96" s="127"/>
      <c r="C96" s="128">
        <v>-38</v>
      </c>
      <c r="D96" s="129"/>
      <c r="E96" s="130">
        <f>272.31+14.19</f>
        <v>286.5</v>
      </c>
      <c r="F96" s="113">
        <f t="shared" si="26"/>
        <v>0.22245343230505235</v>
      </c>
      <c r="G96" s="131"/>
    </row>
    <row r="97" spans="2:18" x14ac:dyDescent="0.2">
      <c r="B97" s="132"/>
      <c r="C97" s="133" t="s">
        <v>55</v>
      </c>
      <c r="D97" s="134"/>
      <c r="E97" s="135">
        <f>SUM(E85:E96)</f>
        <v>1287.9100000000001</v>
      </c>
      <c r="F97" s="136">
        <f>E97/$E$97</f>
        <v>1</v>
      </c>
      <c r="G97" s="135"/>
    </row>
    <row r="98" spans="2:18" x14ac:dyDescent="0.2">
      <c r="C98" s="137"/>
      <c r="D98" s="138"/>
      <c r="E98" s="139"/>
      <c r="F98" s="140"/>
      <c r="G98" s="139"/>
    </row>
    <row r="99" spans="2:18" ht="12" thickBot="1" x14ac:dyDescent="0.25">
      <c r="B99" s="106" t="s">
        <v>23</v>
      </c>
      <c r="C99" s="177" t="s">
        <v>24</v>
      </c>
      <c r="D99" s="178"/>
      <c r="E99" s="107" t="s">
        <v>25</v>
      </c>
      <c r="F99" s="108" t="s">
        <v>26</v>
      </c>
      <c r="G99" s="107" t="s">
        <v>27</v>
      </c>
    </row>
    <row r="100" spans="2:18" ht="23.25" thickTop="1" x14ac:dyDescent="0.2">
      <c r="B100" s="109" t="str">
        <f>G10&amp;" "&amp;"("&amp;G11&amp;")"</f>
        <v>SC-04 feed to deck5 (DI-040)</v>
      </c>
      <c r="C100" s="110" t="s">
        <v>43</v>
      </c>
      <c r="D100" s="111">
        <v>1180</v>
      </c>
      <c r="E100" s="112">
        <f>101.05+59.17</f>
        <v>160.22</v>
      </c>
      <c r="F100" s="113">
        <f t="shared" ref="F100:F112" si="34">E100/$E$112</f>
        <v>9.4188883336762577E-2</v>
      </c>
      <c r="G100" s="114">
        <f>SUM(E101:E$111)/$E$112</f>
        <v>0.90581111666323733</v>
      </c>
    </row>
    <row r="101" spans="2:18" x14ac:dyDescent="0.2">
      <c r="B101" s="115" t="s">
        <v>44</v>
      </c>
      <c r="C101" s="111" t="s">
        <v>45</v>
      </c>
      <c r="D101" s="111">
        <v>600</v>
      </c>
      <c r="E101" s="112">
        <f>127.22+78.07</f>
        <v>205.29</v>
      </c>
      <c r="F101" s="113">
        <f t="shared" si="34"/>
        <v>0.1206842832368243</v>
      </c>
      <c r="G101" s="114">
        <f>SUM(E102:E$111)/$E$112</f>
        <v>0.78512683342641298</v>
      </c>
    </row>
    <row r="102" spans="2:18" x14ac:dyDescent="0.2">
      <c r="B102" s="117">
        <f>FORECAST(0.8,D100:D101,G100:G101)</f>
        <v>671.47937064640291</v>
      </c>
      <c r="C102" s="111" t="s">
        <v>46</v>
      </c>
      <c r="D102" s="111">
        <v>425</v>
      </c>
      <c r="E102" s="112">
        <f>99.95+64.08</f>
        <v>164.03</v>
      </c>
      <c r="F102" s="113">
        <f t="shared" si="34"/>
        <v>9.6428676405749383E-2</v>
      </c>
      <c r="G102" s="114">
        <f>SUM(E103:E$111)/$E$112</f>
        <v>0.68869815702066361</v>
      </c>
    </row>
    <row r="103" spans="2:18" x14ac:dyDescent="0.2">
      <c r="B103" s="118"/>
      <c r="C103" s="111" t="s">
        <v>47</v>
      </c>
      <c r="D103" s="111">
        <v>300</v>
      </c>
      <c r="E103" s="112">
        <f>125.25+86.88</f>
        <v>212.13</v>
      </c>
      <c r="F103" s="113">
        <f t="shared" si="34"/>
        <v>0.12470532906146202</v>
      </c>
      <c r="G103" s="114">
        <f>SUM(E104:E$111)/$E$112</f>
        <v>0.56399282795920169</v>
      </c>
      <c r="H103" s="116"/>
      <c r="J103" s="143">
        <f t="shared" ref="J103:J110" si="35">J88</f>
        <v>0.40387289972560181</v>
      </c>
      <c r="K103" s="143">
        <f>1-J103</f>
        <v>0.59612710027439819</v>
      </c>
      <c r="L103" s="143">
        <f>SUM($F$101:F103)</f>
        <v>0.34181828870403569</v>
      </c>
      <c r="M103" s="143">
        <v>1</v>
      </c>
      <c r="N103" s="144">
        <f>+(L103-J103)/(L103+M103-1)</f>
        <v>-0.18154268824186953</v>
      </c>
      <c r="O103" s="145">
        <f>1-N103</f>
        <v>1.1815426882418696</v>
      </c>
      <c r="P103" s="144">
        <f>+N103*M103/K103</f>
        <v>-0.30453688174603227</v>
      </c>
      <c r="Q103" s="144">
        <f>+O103*L103/J103</f>
        <v>1</v>
      </c>
      <c r="R103" s="146">
        <f>+N103*M103+O103*L103</f>
        <v>0.22233021148373228</v>
      </c>
    </row>
    <row r="104" spans="2:18" x14ac:dyDescent="0.2">
      <c r="B104" s="118"/>
      <c r="C104" s="119" t="s">
        <v>48</v>
      </c>
      <c r="D104" s="120">
        <v>212</v>
      </c>
      <c r="E104" s="121">
        <f>111.34+81.76</f>
        <v>193.10000000000002</v>
      </c>
      <c r="F104" s="122">
        <f t="shared" si="34"/>
        <v>0.11351812116045971</v>
      </c>
      <c r="G104" s="123">
        <f>SUM(E105:E$111)/$E$112</f>
        <v>0.45047470679874191</v>
      </c>
      <c r="H104" s="124">
        <f>SUM(F105:F111)*100</f>
        <v>45.047470679874188</v>
      </c>
      <c r="I104" s="116">
        <f>($I$208-H104)/($I$208*(100-H104))*10000</f>
        <v>11.935706868282184</v>
      </c>
      <c r="J104" s="143">
        <f t="shared" si="35"/>
        <v>0.51790480009021322</v>
      </c>
      <c r="K104" s="143">
        <f t="shared" ref="K104:K110" si="36">1-J104</f>
        <v>0.48209519990978678</v>
      </c>
      <c r="L104" s="143">
        <f>SUM($F$101:F104)</f>
        <v>0.45533640986449542</v>
      </c>
      <c r="M104" s="143">
        <v>1</v>
      </c>
      <c r="N104" s="144">
        <f t="shared" ref="N104:N110" si="37">+(L104-J104)/(L104+M104-1)</f>
        <v>-0.13741134877471731</v>
      </c>
      <c r="O104" s="145">
        <f t="shared" ref="O104:O110" si="38">1-N104</f>
        <v>1.1374113487747173</v>
      </c>
      <c r="P104" s="144">
        <f t="shared" ref="P104:P110" si="39">+N104*M104/K104</f>
        <v>-0.28502948961207397</v>
      </c>
      <c r="Q104" s="144">
        <f t="shared" ref="Q104:Q110" si="40">+O104*L104/J104</f>
        <v>1</v>
      </c>
      <c r="R104" s="146">
        <f t="shared" ref="R104:R110" si="41">+N104*M104+O104*L104</f>
        <v>0.38049345131549595</v>
      </c>
    </row>
    <row r="105" spans="2:18" x14ac:dyDescent="0.2">
      <c r="B105" s="118"/>
      <c r="C105" s="119" t="s">
        <v>49</v>
      </c>
      <c r="D105" s="125">
        <v>180</v>
      </c>
      <c r="E105" s="126">
        <f>41.76+23.58</f>
        <v>65.34</v>
      </c>
      <c r="F105" s="113">
        <f t="shared" si="34"/>
        <v>3.8411569324828782E-2</v>
      </c>
      <c r="G105" s="114">
        <f>SUM(E106:E$111)/$E$112</f>
        <v>0.41206313747391315</v>
      </c>
      <c r="J105" s="143">
        <f t="shared" si="35"/>
        <v>0.55591334527821989</v>
      </c>
      <c r="K105" s="143">
        <f t="shared" si="36"/>
        <v>0.44408665472178011</v>
      </c>
      <c r="L105" s="143">
        <f>SUM($F$101:F105)</f>
        <v>0.49374797918932423</v>
      </c>
      <c r="M105" s="143">
        <v>1</v>
      </c>
      <c r="N105" s="144">
        <f t="shared" si="37"/>
        <v>-0.12590505421604731</v>
      </c>
      <c r="O105" s="145">
        <f t="shared" si="38"/>
        <v>1.1259050542160474</v>
      </c>
      <c r="P105" s="144">
        <f t="shared" si="39"/>
        <v>-0.28351460886598068</v>
      </c>
      <c r="Q105" s="144">
        <f t="shared" si="40"/>
        <v>1</v>
      </c>
      <c r="R105" s="146">
        <f t="shared" si="41"/>
        <v>0.43000829106217259</v>
      </c>
    </row>
    <row r="106" spans="2:18" x14ac:dyDescent="0.2">
      <c r="B106" s="118"/>
      <c r="C106" s="119" t="s">
        <v>50</v>
      </c>
      <c r="D106" s="125">
        <v>150</v>
      </c>
      <c r="E106" s="126">
        <v>88.27</v>
      </c>
      <c r="F106" s="113">
        <f t="shared" si="34"/>
        <v>5.1891478792510499E-2</v>
      </c>
      <c r="G106" s="114">
        <f>SUM(E107:E$111)/$E$112</f>
        <v>0.36017165868140266</v>
      </c>
      <c r="J106" s="143">
        <f t="shared" si="35"/>
        <v>0.60868802546014966</v>
      </c>
      <c r="K106" s="143">
        <f t="shared" si="36"/>
        <v>0.39131197453985034</v>
      </c>
      <c r="L106" s="143">
        <f>SUM($F$101:F106)</f>
        <v>0.54563945798183477</v>
      </c>
      <c r="M106" s="143">
        <v>1</v>
      </c>
      <c r="N106" s="144">
        <f t="shared" si="37"/>
        <v>-0.11554986824360838</v>
      </c>
      <c r="O106" s="145">
        <f t="shared" si="38"/>
        <v>1.1155498682436085</v>
      </c>
      <c r="P106" s="144">
        <f t="shared" si="39"/>
        <v>-0.29528835241877077</v>
      </c>
      <c r="Q106" s="144">
        <f t="shared" si="40"/>
        <v>1.0000000000000002</v>
      </c>
      <c r="R106" s="146">
        <f t="shared" si="41"/>
        <v>0.49313815721654142</v>
      </c>
    </row>
    <row r="107" spans="2:18" x14ac:dyDescent="0.2">
      <c r="B107" s="118"/>
      <c r="C107" s="119" t="s">
        <v>51</v>
      </c>
      <c r="D107" s="125">
        <v>106</v>
      </c>
      <c r="E107" s="126">
        <v>129.96</v>
      </c>
      <c r="F107" s="113">
        <f t="shared" si="34"/>
        <v>7.6399870668116751E-2</v>
      </c>
      <c r="G107" s="114">
        <f>SUM(E108:E$111)/$E$112</f>
        <v>0.28377178801328584</v>
      </c>
      <c r="J107" s="143">
        <f t="shared" si="35"/>
        <v>0.68935359787497974</v>
      </c>
      <c r="K107" s="143">
        <f t="shared" si="36"/>
        <v>0.31064640212502026</v>
      </c>
      <c r="L107" s="143">
        <f>SUM($F$101:F107)</f>
        <v>0.62203932864995148</v>
      </c>
      <c r="M107" s="143">
        <v>1</v>
      </c>
      <c r="N107" s="144">
        <f t="shared" si="37"/>
        <v>-0.10821545539752989</v>
      </c>
      <c r="O107" s="145">
        <f t="shared" si="38"/>
        <v>1.1082154553975299</v>
      </c>
      <c r="P107" s="144">
        <f t="shared" si="39"/>
        <v>-0.34835573390603236</v>
      </c>
      <c r="Q107" s="144">
        <f t="shared" si="40"/>
        <v>1</v>
      </c>
      <c r="R107" s="146">
        <f t="shared" si="41"/>
        <v>0.58113814247744988</v>
      </c>
    </row>
    <row r="108" spans="2:18" x14ac:dyDescent="0.2">
      <c r="B108" s="118"/>
      <c r="C108" s="119" t="s">
        <v>52</v>
      </c>
      <c r="D108" s="125">
        <v>75</v>
      </c>
      <c r="E108" s="126">
        <v>94.7</v>
      </c>
      <c r="F108" s="113">
        <f t="shared" si="34"/>
        <v>5.5671497016548596E-2</v>
      </c>
      <c r="G108" s="114">
        <f>SUM(E109:E$111)/$E$112</f>
        <v>0.22810029099673729</v>
      </c>
      <c r="J108" s="143">
        <f t="shared" si="35"/>
        <v>0.74651363847088759</v>
      </c>
      <c r="K108" s="143">
        <f t="shared" si="36"/>
        <v>0.25348636152911241</v>
      </c>
      <c r="L108" s="143">
        <f>SUM($F$101:F108)</f>
        <v>0.67771082566650009</v>
      </c>
      <c r="M108" s="143">
        <v>1</v>
      </c>
      <c r="N108" s="144">
        <f t="shared" si="37"/>
        <v>-0.10152237532390429</v>
      </c>
      <c r="O108" s="145">
        <f t="shared" si="38"/>
        <v>1.1015223753239043</v>
      </c>
      <c r="P108" s="144">
        <f t="shared" si="39"/>
        <v>-0.40050429029588891</v>
      </c>
      <c r="Q108" s="144">
        <f t="shared" si="40"/>
        <v>1</v>
      </c>
      <c r="R108" s="146">
        <f t="shared" si="41"/>
        <v>0.6449912631469833</v>
      </c>
    </row>
    <row r="109" spans="2:18" x14ac:dyDescent="0.2">
      <c r="B109" s="118"/>
      <c r="C109" s="119" t="s">
        <v>53</v>
      </c>
      <c r="D109" s="125">
        <v>53</v>
      </c>
      <c r="E109" s="126">
        <v>67.62</v>
      </c>
      <c r="F109" s="113">
        <f t="shared" si="34"/>
        <v>3.9751917933041357E-2</v>
      </c>
      <c r="G109" s="114">
        <f>SUM(E110:E$111)/$E$112</f>
        <v>0.18834837306369592</v>
      </c>
      <c r="J109" s="143">
        <f t="shared" si="35"/>
        <v>0.79681998721980696</v>
      </c>
      <c r="K109" s="143">
        <f t="shared" si="36"/>
        <v>0.20318001278019304</v>
      </c>
      <c r="L109" s="143">
        <f>SUM($F$101:F109)</f>
        <v>0.71746274359954143</v>
      </c>
      <c r="M109" s="143">
        <v>1</v>
      </c>
      <c r="N109" s="144">
        <f t="shared" si="37"/>
        <v>-0.11060817349501222</v>
      </c>
      <c r="O109" s="145">
        <f t="shared" si="38"/>
        <v>1.1106081734950122</v>
      </c>
      <c r="P109" s="144">
        <f t="shared" si="39"/>
        <v>-0.54438510944810237</v>
      </c>
      <c r="Q109" s="144">
        <f t="shared" si="40"/>
        <v>1</v>
      </c>
      <c r="R109" s="146">
        <f t="shared" si="41"/>
        <v>0.68621181372479478</v>
      </c>
    </row>
    <row r="110" spans="2:18" x14ac:dyDescent="0.2">
      <c r="B110" s="118"/>
      <c r="C110" s="119" t="s">
        <v>54</v>
      </c>
      <c r="D110" s="125">
        <v>38</v>
      </c>
      <c r="E110" s="126">
        <v>55.56</v>
      </c>
      <c r="F110" s="113">
        <f t="shared" si="34"/>
        <v>3.2662179242232733E-2</v>
      </c>
      <c r="G110" s="114">
        <f>SUM(E111:E$111)/$E$112</f>
        <v>0.15568619382146318</v>
      </c>
      <c r="J110" s="143">
        <f t="shared" si="35"/>
        <v>0.82372104095926646</v>
      </c>
      <c r="K110" s="143">
        <f t="shared" si="36"/>
        <v>0.17627895904073354</v>
      </c>
      <c r="L110" s="143">
        <f>SUM($F$101:F110)</f>
        <v>0.75012492284177412</v>
      </c>
      <c r="M110" s="143">
        <v>1</v>
      </c>
      <c r="N110" s="144">
        <f t="shared" si="37"/>
        <v>-9.8111815614232253E-2</v>
      </c>
      <c r="O110" s="145">
        <f t="shared" si="38"/>
        <v>1.0981118156142322</v>
      </c>
      <c r="P110" s="144">
        <f t="shared" si="39"/>
        <v>-0.55657133527525049</v>
      </c>
      <c r="Q110" s="144">
        <f t="shared" si="40"/>
        <v>1</v>
      </c>
      <c r="R110" s="146">
        <f t="shared" si="41"/>
        <v>0.72560922534503425</v>
      </c>
    </row>
    <row r="111" spans="2:18" x14ac:dyDescent="0.2">
      <c r="B111" s="127"/>
      <c r="C111" s="128">
        <v>-38</v>
      </c>
      <c r="D111" s="129"/>
      <c r="E111" s="130">
        <f>19.34+245.49</f>
        <v>264.83</v>
      </c>
      <c r="F111" s="113">
        <f t="shared" si="34"/>
        <v>0.15568619382146318</v>
      </c>
      <c r="G111" s="131"/>
    </row>
    <row r="112" spans="2:18" x14ac:dyDescent="0.2">
      <c r="B112" s="132"/>
      <c r="C112" s="133" t="s">
        <v>55</v>
      </c>
      <c r="D112" s="134"/>
      <c r="E112" s="135">
        <f>SUM(E100:E111)</f>
        <v>1701.0500000000002</v>
      </c>
      <c r="F112" s="136">
        <f t="shared" si="34"/>
        <v>1</v>
      </c>
      <c r="G112" s="135"/>
    </row>
    <row r="113" spans="2:11" x14ac:dyDescent="0.2">
      <c r="C113" s="137"/>
      <c r="D113" s="138"/>
      <c r="E113" s="139"/>
      <c r="F113" s="140"/>
      <c r="G113" s="139"/>
    </row>
    <row r="114" spans="2:11" x14ac:dyDescent="0.2">
      <c r="C114" s="137"/>
      <c r="D114" s="138"/>
      <c r="E114" s="139"/>
      <c r="F114" s="140"/>
      <c r="G114" s="139"/>
    </row>
    <row r="115" spans="2:11" x14ac:dyDescent="0.2">
      <c r="B115" s="153" t="s">
        <v>23</v>
      </c>
      <c r="C115" s="179" t="s">
        <v>24</v>
      </c>
      <c r="D115" s="179"/>
      <c r="E115" s="154" t="s">
        <v>25</v>
      </c>
      <c r="F115" s="155" t="s">
        <v>26</v>
      </c>
      <c r="G115" s="154" t="s">
        <v>27</v>
      </c>
    </row>
    <row r="116" spans="2:11" x14ac:dyDescent="0.2">
      <c r="B116" s="156" t="s">
        <v>93</v>
      </c>
      <c r="C116" s="157" t="s">
        <v>43</v>
      </c>
      <c r="D116" s="158">
        <v>1180</v>
      </c>
      <c r="E116" s="159">
        <v>0</v>
      </c>
      <c r="F116" s="113">
        <f t="shared" ref="F116:F128" si="42">E116/$E$128</f>
        <v>0</v>
      </c>
      <c r="G116" s="160">
        <f>SUM(E117:E$127)/$E$128</f>
        <v>1</v>
      </c>
    </row>
    <row r="117" spans="2:11" x14ac:dyDescent="0.2">
      <c r="B117" s="156" t="s">
        <v>44</v>
      </c>
      <c r="C117" s="111" t="s">
        <v>45</v>
      </c>
      <c r="D117" s="111">
        <v>600</v>
      </c>
      <c r="E117" s="112">
        <v>0</v>
      </c>
      <c r="F117" s="113">
        <f t="shared" si="42"/>
        <v>0</v>
      </c>
      <c r="G117" s="114">
        <f>SUM(E118:E$127)/$E$128</f>
        <v>1</v>
      </c>
    </row>
    <row r="118" spans="2:11" x14ac:dyDescent="0.2">
      <c r="B118" s="161">
        <f>FORECAST(0.8,D120:D121,G121:G122)</f>
        <v>184.35052023121386</v>
      </c>
      <c r="C118" s="111" t="s">
        <v>46</v>
      </c>
      <c r="D118" s="111">
        <v>425</v>
      </c>
      <c r="E118" s="112">
        <v>0.42</v>
      </c>
      <c r="F118" s="113">
        <f t="shared" si="42"/>
        <v>7.2632944228274965E-4</v>
      </c>
      <c r="G118" s="114">
        <f>SUM(E119:E$127)/$E$128</f>
        <v>0.9992736705577171</v>
      </c>
    </row>
    <row r="119" spans="2:11" x14ac:dyDescent="0.2">
      <c r="B119" s="118"/>
      <c r="C119" s="111" t="s">
        <v>47</v>
      </c>
      <c r="D119" s="111">
        <v>300</v>
      </c>
      <c r="E119" s="112">
        <v>4.3600000000000003</v>
      </c>
      <c r="F119" s="113">
        <f t="shared" si="42"/>
        <v>7.5399913532209258E-3</v>
      </c>
      <c r="G119" s="114">
        <f>SUM(E120:E$127)/$E$128</f>
        <v>0.9917336792044964</v>
      </c>
    </row>
    <row r="120" spans="2:11" x14ac:dyDescent="0.2">
      <c r="B120" s="118"/>
      <c r="C120" s="119" t="s">
        <v>48</v>
      </c>
      <c r="D120" s="120">
        <v>212</v>
      </c>
      <c r="E120" s="121">
        <v>45.76</v>
      </c>
      <c r="F120" s="122">
        <f t="shared" si="42"/>
        <v>7.9135322092520527E-2</v>
      </c>
      <c r="G120" s="123">
        <f>SUM(E121:E$127)/$E$128</f>
        <v>0.9125983571119759</v>
      </c>
      <c r="H120" s="124">
        <f>SUM(F121:F127)*100</f>
        <v>91.259835711197567</v>
      </c>
      <c r="I120" s="116">
        <f>($I$208-H120)/($I$208*(100-H120))*10000</f>
        <v>-1021.7012796307932</v>
      </c>
    </row>
    <row r="121" spans="2:11" x14ac:dyDescent="0.2">
      <c r="B121" s="118"/>
      <c r="C121" s="119" t="s">
        <v>49</v>
      </c>
      <c r="D121" s="125">
        <v>180</v>
      </c>
      <c r="E121" s="126">
        <v>27.74</v>
      </c>
      <c r="F121" s="113">
        <f t="shared" si="42"/>
        <v>4.7972330306960652E-2</v>
      </c>
      <c r="G121" s="114">
        <f>SUM(E122:E$127)/$E$128</f>
        <v>0.8646260268050151</v>
      </c>
      <c r="K121" s="144"/>
    </row>
    <row r="122" spans="2:11" x14ac:dyDescent="0.2">
      <c r="B122" s="118"/>
      <c r="C122" s="119" t="s">
        <v>50</v>
      </c>
      <c r="D122" s="125">
        <v>150</v>
      </c>
      <c r="E122" s="126">
        <v>43.25</v>
      </c>
      <c r="F122" s="113">
        <f t="shared" si="42"/>
        <v>7.4794638996973625E-2</v>
      </c>
      <c r="G122" s="114">
        <f>SUM(E123:E$127)/$E$128</f>
        <v>0.78983138780804152</v>
      </c>
    </row>
    <row r="123" spans="2:11" x14ac:dyDescent="0.2">
      <c r="B123" s="118"/>
      <c r="C123" s="119" t="s">
        <v>51</v>
      </c>
      <c r="D123" s="125">
        <v>106</v>
      </c>
      <c r="E123" s="126">
        <v>81.97</v>
      </c>
      <c r="F123" s="113">
        <f t="shared" si="42"/>
        <v>0.1417552961521833</v>
      </c>
      <c r="G123" s="114">
        <f>SUM(E124:E$127)/$E$128</f>
        <v>0.64807609165585822</v>
      </c>
    </row>
    <row r="124" spans="2:11" x14ac:dyDescent="0.2">
      <c r="B124" s="118"/>
      <c r="C124" s="119" t="s">
        <v>52</v>
      </c>
      <c r="D124" s="125">
        <v>75</v>
      </c>
      <c r="E124" s="126">
        <v>66.83</v>
      </c>
      <c r="F124" s="113">
        <f t="shared" si="42"/>
        <v>0.11557284911370515</v>
      </c>
      <c r="G124" s="114">
        <f>SUM(E125:E$127)/$E$128</f>
        <v>0.53250324254215298</v>
      </c>
    </row>
    <row r="125" spans="2:11" x14ac:dyDescent="0.2">
      <c r="B125" s="118"/>
      <c r="C125" s="119" t="s">
        <v>53</v>
      </c>
      <c r="D125" s="125">
        <v>53</v>
      </c>
      <c r="E125" s="126">
        <v>57.88</v>
      </c>
      <c r="F125" s="113">
        <f t="shared" si="42"/>
        <v>0.10009511456982274</v>
      </c>
      <c r="G125" s="114">
        <f>SUM(E126:E$127)/$E$128</f>
        <v>0.4324081279723303</v>
      </c>
    </row>
    <row r="126" spans="2:11" x14ac:dyDescent="0.2">
      <c r="B126" s="118"/>
      <c r="C126" s="119" t="s">
        <v>54</v>
      </c>
      <c r="D126" s="125">
        <v>38</v>
      </c>
      <c r="E126" s="126">
        <v>40.22</v>
      </c>
      <c r="F126" s="113">
        <f t="shared" si="42"/>
        <v>6.9554690877648068E-2</v>
      </c>
      <c r="G126" s="114">
        <f>SUM(E127:E$127)/$E$128</f>
        <v>0.36285343709468221</v>
      </c>
    </row>
    <row r="127" spans="2:11" x14ac:dyDescent="0.2">
      <c r="B127" s="127"/>
      <c r="C127" s="128">
        <v>-38</v>
      </c>
      <c r="D127" s="129"/>
      <c r="E127" s="130">
        <f>13.75+196.07</f>
        <v>209.82</v>
      </c>
      <c r="F127" s="113">
        <f t="shared" si="42"/>
        <v>0.36285343709468221</v>
      </c>
      <c r="G127" s="131"/>
    </row>
    <row r="128" spans="2:11" x14ac:dyDescent="0.2">
      <c r="B128" s="132"/>
      <c r="C128" s="133" t="s">
        <v>55</v>
      </c>
      <c r="D128" s="134"/>
      <c r="E128" s="135">
        <f>SUM(E116:E127)</f>
        <v>578.25</v>
      </c>
      <c r="F128" s="136">
        <f t="shared" si="42"/>
        <v>1</v>
      </c>
      <c r="G128" s="135"/>
    </row>
    <row r="129" spans="2:18" x14ac:dyDescent="0.2">
      <c r="C129" s="137"/>
      <c r="D129" s="138"/>
      <c r="E129" s="139"/>
      <c r="F129" s="140"/>
      <c r="G129" s="139"/>
    </row>
    <row r="130" spans="2:18" x14ac:dyDescent="0.2">
      <c r="B130" s="162" t="s">
        <v>23</v>
      </c>
      <c r="C130" s="177" t="s">
        <v>24</v>
      </c>
      <c r="D130" s="178"/>
      <c r="E130" s="107" t="s">
        <v>25</v>
      </c>
      <c r="F130" s="108" t="s">
        <v>26</v>
      </c>
      <c r="G130" s="107" t="s">
        <v>27</v>
      </c>
    </row>
    <row r="131" spans="2:18" x14ac:dyDescent="0.2">
      <c r="B131" s="163" t="s">
        <v>94</v>
      </c>
      <c r="C131" s="110" t="s">
        <v>43</v>
      </c>
      <c r="D131" s="111">
        <v>1180</v>
      </c>
      <c r="E131" s="112">
        <v>210.13</v>
      </c>
      <c r="F131" s="113">
        <f t="shared" ref="F131:F143" si="43">E131/$E$143</f>
        <v>0.19215223673140935</v>
      </c>
      <c r="G131" s="114">
        <f>SUM(E132:E$142)/$E$143</f>
        <v>0.80784776326859065</v>
      </c>
    </row>
    <row r="132" spans="2:18" x14ac:dyDescent="0.2">
      <c r="B132" s="163" t="s">
        <v>44</v>
      </c>
      <c r="C132" s="111" t="s">
        <v>45</v>
      </c>
      <c r="D132" s="111">
        <v>600</v>
      </c>
      <c r="E132" s="112">
        <v>261.73</v>
      </c>
      <c r="F132" s="113">
        <f t="shared" si="43"/>
        <v>0.23933757635612132</v>
      </c>
      <c r="G132" s="114">
        <f>SUM(E133:E$142)/$E$143</f>
        <v>0.56851018691246935</v>
      </c>
    </row>
    <row r="133" spans="2:18" x14ac:dyDescent="0.2">
      <c r="B133" s="164">
        <f>FORECAST(0.8,D131:D132,G131:G132)</f>
        <v>1160.9820807702595</v>
      </c>
      <c r="C133" s="111" t="s">
        <v>46</v>
      </c>
      <c r="D133" s="111">
        <v>425</v>
      </c>
      <c r="E133" s="112">
        <v>199.42</v>
      </c>
      <c r="F133" s="113">
        <f t="shared" si="43"/>
        <v>0.1823585354255825</v>
      </c>
      <c r="G133" s="114">
        <f>SUM(E134:E$142)/$E$143</f>
        <v>0.38615165148688679</v>
      </c>
    </row>
    <row r="134" spans="2:18" x14ac:dyDescent="0.2">
      <c r="B134" s="165"/>
      <c r="C134" s="111" t="s">
        <v>47</v>
      </c>
      <c r="D134" s="111">
        <v>300</v>
      </c>
      <c r="E134" s="112">
        <v>210.92</v>
      </c>
      <c r="F134" s="113">
        <f t="shared" si="43"/>
        <v>0.19287464793884196</v>
      </c>
      <c r="G134" s="114">
        <f>SUM(E135:E$142)/$E$143</f>
        <v>0.19327700354804497</v>
      </c>
      <c r="H134" s="116"/>
      <c r="J134" s="143">
        <f>SUM($F$116:F119)</f>
        <v>8.2663207955036757E-3</v>
      </c>
      <c r="K134" s="143">
        <f>1-J134</f>
        <v>0.99173367920449629</v>
      </c>
      <c r="L134" s="143">
        <f>SUM($F$131:F134)</f>
        <v>0.80672299645195511</v>
      </c>
      <c r="M134" s="143">
        <v>1</v>
      </c>
      <c r="N134" s="144">
        <f>+(L134-J134)/(L134+M134-1)</f>
        <v>0.98975321041812392</v>
      </c>
      <c r="O134" s="145">
        <f>1-N134</f>
        <v>1.0246789581876081E-2</v>
      </c>
      <c r="P134" s="144">
        <f>+N134*M134/K134</f>
        <v>0.99800302356580151</v>
      </c>
      <c r="Q134" s="144">
        <f>+O134*L134/J134</f>
        <v>1.0000000000000089</v>
      </c>
      <c r="R134" s="146">
        <f>+N134*M134+O134*L134</f>
        <v>0.99801953121362763</v>
      </c>
    </row>
    <row r="135" spans="2:18" x14ac:dyDescent="0.2">
      <c r="B135" s="118"/>
      <c r="C135" s="119" t="s">
        <v>48</v>
      </c>
      <c r="D135" s="120">
        <v>212</v>
      </c>
      <c r="E135" s="121">
        <v>115.46</v>
      </c>
      <c r="F135" s="122">
        <f t="shared" si="43"/>
        <v>0.10558176963312484</v>
      </c>
      <c r="G135" s="123">
        <f>SUM(E136:E$142)/$E$143</f>
        <v>8.7695233914920068E-2</v>
      </c>
      <c r="H135" s="124">
        <f>SUM(F136:F142)*100</f>
        <v>8.7695233914920099</v>
      </c>
      <c r="I135" s="116">
        <f>($I$208-H135)/($I$208*(100-H135))*10000</f>
        <v>89.673499367465467</v>
      </c>
      <c r="J135" s="143">
        <f>SUM($F$116:F120)</f>
        <v>8.7401642888024197E-2</v>
      </c>
      <c r="K135" s="143">
        <f t="shared" ref="K135:K141" si="44">1-J135</f>
        <v>0.91259835711197579</v>
      </c>
      <c r="L135" s="143">
        <f>SUM($F$131:F135)</f>
        <v>0.91230476608507993</v>
      </c>
      <c r="M135" s="143">
        <v>1</v>
      </c>
      <c r="N135" s="144">
        <f t="shared" ref="N135:N141" si="45">+(L135-J135)/(L135+M135-1)</f>
        <v>0.90419688010281274</v>
      </c>
      <c r="O135" s="145">
        <f t="shared" ref="O135:O141" si="46">1-N135</f>
        <v>9.5803119897187261E-2</v>
      </c>
      <c r="P135" s="144">
        <f t="shared" ref="P135:P141" si="47">+N135*M135/K135</f>
        <v>0.99079389422116593</v>
      </c>
      <c r="Q135" s="144">
        <f t="shared" ref="Q135:Q141" si="48">+O135*L135/J135</f>
        <v>1.0000000000000011</v>
      </c>
      <c r="R135" s="146">
        <f t="shared" ref="R135:R141" si="49">+N135*M135+O135*L135</f>
        <v>0.99159852299083706</v>
      </c>
    </row>
    <row r="136" spans="2:18" x14ac:dyDescent="0.2">
      <c r="B136" s="118"/>
      <c r="C136" s="119" t="s">
        <v>49</v>
      </c>
      <c r="D136" s="125">
        <v>180</v>
      </c>
      <c r="E136" s="126">
        <v>17.399999999999999</v>
      </c>
      <c r="F136" s="113">
        <f t="shared" si="43"/>
        <v>1.5911335454844727E-2</v>
      </c>
      <c r="G136" s="114">
        <f>SUM(E137:E$142)/$E$143</f>
        <v>7.1783898460075352E-2</v>
      </c>
      <c r="J136" s="143">
        <f>SUM($F$116:F121)</f>
        <v>0.13537397319498484</v>
      </c>
      <c r="K136" s="143">
        <f t="shared" si="44"/>
        <v>0.86462602680501521</v>
      </c>
      <c r="L136" s="143">
        <f>SUM($F$131:F136)</f>
        <v>0.92821610153992462</v>
      </c>
      <c r="M136" s="143">
        <v>1</v>
      </c>
      <c r="N136" s="144">
        <f t="shared" si="45"/>
        <v>0.85415683592387881</v>
      </c>
      <c r="O136" s="145">
        <f t="shared" si="46"/>
        <v>0.14584316407612119</v>
      </c>
      <c r="P136" s="144">
        <f t="shared" si="47"/>
        <v>0.98789165424522052</v>
      </c>
      <c r="Q136" s="144">
        <f t="shared" si="48"/>
        <v>0.99999999999999956</v>
      </c>
      <c r="R136" s="146">
        <f t="shared" si="49"/>
        <v>0.9895308091188636</v>
      </c>
    </row>
    <row r="137" spans="2:18" x14ac:dyDescent="0.2">
      <c r="B137" s="118"/>
      <c r="C137" s="119" t="s">
        <v>50</v>
      </c>
      <c r="D137" s="125">
        <v>150</v>
      </c>
      <c r="E137" s="126">
        <v>17.89</v>
      </c>
      <c r="F137" s="113">
        <f t="shared" si="43"/>
        <v>1.6359413292366218E-2</v>
      </c>
      <c r="G137" s="114">
        <f>SUM(E138:E$142)/$E$143</f>
        <v>5.5424485167709134E-2</v>
      </c>
      <c r="J137" s="143">
        <f>SUM($F$116:F122)</f>
        <v>0.21016861219195848</v>
      </c>
      <c r="K137" s="143">
        <f t="shared" si="44"/>
        <v>0.78983138780804152</v>
      </c>
      <c r="L137" s="143">
        <f>SUM($F$131:F137)</f>
        <v>0.94457551483229085</v>
      </c>
      <c r="M137" s="143">
        <v>1</v>
      </c>
      <c r="N137" s="144">
        <f t="shared" si="45"/>
        <v>0.77749940699100806</v>
      </c>
      <c r="O137" s="145">
        <f t="shared" si="46"/>
        <v>0.22250059300899194</v>
      </c>
      <c r="P137" s="144">
        <f t="shared" si="47"/>
        <v>0.98438656527533364</v>
      </c>
      <c r="Q137" s="144">
        <f t="shared" si="48"/>
        <v>1.0000000000000004</v>
      </c>
      <c r="R137" s="146">
        <f t="shared" si="49"/>
        <v>0.98766801918296665</v>
      </c>
    </row>
    <row r="138" spans="2:18" x14ac:dyDescent="0.2">
      <c r="B138" s="118"/>
      <c r="C138" s="119" t="s">
        <v>51</v>
      </c>
      <c r="D138" s="125">
        <v>106</v>
      </c>
      <c r="E138" s="126">
        <v>16.28</v>
      </c>
      <c r="F138" s="113">
        <f t="shared" si="43"/>
        <v>1.4887157540509895E-2</v>
      </c>
      <c r="G138" s="114">
        <f>SUM(E139:E$142)/$E$143</f>
        <v>4.0537327627199242E-2</v>
      </c>
      <c r="J138" s="143">
        <f>SUM($F$116:F123)</f>
        <v>0.35192390834414178</v>
      </c>
      <c r="K138" s="143">
        <f t="shared" si="44"/>
        <v>0.64807609165585822</v>
      </c>
      <c r="L138" s="143">
        <f>SUM($F$131:F138)</f>
        <v>0.9594626723728007</v>
      </c>
      <c r="M138" s="143">
        <v>1</v>
      </c>
      <c r="N138" s="144">
        <f t="shared" si="45"/>
        <v>0.63320729562744127</v>
      </c>
      <c r="O138" s="145">
        <f t="shared" si="46"/>
        <v>0.36679270437255873</v>
      </c>
      <c r="P138" s="144">
        <f t="shared" si="47"/>
        <v>0.97705702120498439</v>
      </c>
      <c r="Q138" s="144">
        <f t="shared" si="48"/>
        <v>1.0000000000000002</v>
      </c>
      <c r="R138" s="146">
        <f t="shared" si="49"/>
        <v>0.98513120397158316</v>
      </c>
    </row>
    <row r="139" spans="2:18" x14ac:dyDescent="0.2">
      <c r="B139" s="118"/>
      <c r="C139" s="119" t="s">
        <v>52</v>
      </c>
      <c r="D139" s="125">
        <v>75</v>
      </c>
      <c r="E139" s="126">
        <v>7.36</v>
      </c>
      <c r="F139" s="113">
        <f t="shared" si="43"/>
        <v>6.7303120084860465E-3</v>
      </c>
      <c r="G139" s="114">
        <f>SUM(E140:E$142)/$E$143</f>
        <v>3.3807015618713195E-2</v>
      </c>
      <c r="J139" s="143">
        <f>SUM($F$116:F124)</f>
        <v>0.46749675745784691</v>
      </c>
      <c r="K139" s="143">
        <f t="shared" si="44"/>
        <v>0.53250324254215309</v>
      </c>
      <c r="L139" s="143">
        <f>SUM($F$131:F139)</f>
        <v>0.96619298438128676</v>
      </c>
      <c r="M139" s="143">
        <v>1</v>
      </c>
      <c r="N139" s="144">
        <f t="shared" si="45"/>
        <v>0.51614556820942559</v>
      </c>
      <c r="O139" s="145">
        <f t="shared" si="46"/>
        <v>0.48385443179057441</v>
      </c>
      <c r="P139" s="144">
        <f t="shared" si="47"/>
        <v>0.96928154980871761</v>
      </c>
      <c r="Q139" s="144">
        <f t="shared" si="48"/>
        <v>0.99999999999999989</v>
      </c>
      <c r="R139" s="146">
        <f t="shared" si="49"/>
        <v>0.98364232566727239</v>
      </c>
    </row>
    <row r="140" spans="2:18" x14ac:dyDescent="0.2">
      <c r="B140" s="118"/>
      <c r="C140" s="119" t="s">
        <v>53</v>
      </c>
      <c r="D140" s="125">
        <v>53</v>
      </c>
      <c r="E140" s="126">
        <v>4.96</v>
      </c>
      <c r="F140" s="113">
        <f t="shared" si="43"/>
        <v>4.5356450491971182E-3</v>
      </c>
      <c r="G140" s="114">
        <f>SUM(E141:E$142)/$E$143</f>
        <v>2.9271370569516075E-2</v>
      </c>
      <c r="J140" s="143">
        <f>SUM($F$116:F125)</f>
        <v>0.5675918720276697</v>
      </c>
      <c r="K140" s="143">
        <f t="shared" si="44"/>
        <v>0.4324081279723303</v>
      </c>
      <c r="L140" s="143">
        <f>SUM($F$131:F140)</f>
        <v>0.97072862943048388</v>
      </c>
      <c r="M140" s="143">
        <v>1</v>
      </c>
      <c r="N140" s="144">
        <f t="shared" si="45"/>
        <v>0.41529295127447735</v>
      </c>
      <c r="O140" s="145">
        <f t="shared" si="46"/>
        <v>0.58470704872552259</v>
      </c>
      <c r="P140" s="144">
        <f t="shared" si="47"/>
        <v>0.96041892926918304</v>
      </c>
      <c r="Q140" s="144">
        <f t="shared" si="48"/>
        <v>1</v>
      </c>
      <c r="R140" s="146">
        <f t="shared" si="49"/>
        <v>0.98288482330214699</v>
      </c>
    </row>
    <row r="141" spans="2:18" x14ac:dyDescent="0.2">
      <c r="B141" s="118"/>
      <c r="C141" s="119" t="s">
        <v>54</v>
      </c>
      <c r="D141" s="125">
        <v>38</v>
      </c>
      <c r="E141" s="126">
        <v>3.49</v>
      </c>
      <c r="F141" s="113">
        <f t="shared" si="43"/>
        <v>3.1914115366326497E-3</v>
      </c>
      <c r="G141" s="114">
        <f>SUM(E142:E$142)/$E$143</f>
        <v>2.6079959032883428E-2</v>
      </c>
      <c r="J141" s="143">
        <f>SUM($F$116:F126)</f>
        <v>0.63714656290531779</v>
      </c>
      <c r="K141" s="143">
        <f t="shared" si="44"/>
        <v>0.36285343709468221</v>
      </c>
      <c r="L141" s="143">
        <f>SUM($F$131:F141)</f>
        <v>0.97392004096711648</v>
      </c>
      <c r="M141" s="143">
        <v>1</v>
      </c>
      <c r="N141" s="144">
        <f t="shared" si="45"/>
        <v>0.34579171173783202</v>
      </c>
      <c r="O141" s="145">
        <f t="shared" si="46"/>
        <v>0.65420828826216804</v>
      </c>
      <c r="P141" s="144">
        <f t="shared" si="47"/>
        <v>0.95297901683538933</v>
      </c>
      <c r="Q141" s="144">
        <f t="shared" si="48"/>
        <v>1</v>
      </c>
      <c r="R141" s="146">
        <f t="shared" si="49"/>
        <v>0.98293827464314987</v>
      </c>
    </row>
    <row r="142" spans="2:18" x14ac:dyDescent="0.2">
      <c r="B142" s="127"/>
      <c r="C142" s="128">
        <v>-38</v>
      </c>
      <c r="D142" s="129"/>
      <c r="E142" s="130">
        <f>0.83+27.69</f>
        <v>28.52</v>
      </c>
      <c r="F142" s="113">
        <f t="shared" si="43"/>
        <v>2.6079959032883428E-2</v>
      </c>
      <c r="G142" s="131"/>
    </row>
    <row r="143" spans="2:18" x14ac:dyDescent="0.2">
      <c r="B143" s="132"/>
      <c r="C143" s="133" t="s">
        <v>55</v>
      </c>
      <c r="D143" s="134"/>
      <c r="E143" s="135">
        <f>SUM(E131:E142)</f>
        <v>1093.56</v>
      </c>
      <c r="F143" s="136">
        <f t="shared" si="43"/>
        <v>1</v>
      </c>
      <c r="G143" s="135"/>
    </row>
    <row r="144" spans="2:18" x14ac:dyDescent="0.2">
      <c r="C144" s="137"/>
      <c r="D144" s="138"/>
      <c r="E144" s="139"/>
      <c r="F144" s="140"/>
      <c r="G144" s="139"/>
    </row>
    <row r="145" spans="2:18" x14ac:dyDescent="0.2">
      <c r="B145" s="162" t="s">
        <v>23</v>
      </c>
      <c r="C145" s="177" t="s">
        <v>24</v>
      </c>
      <c r="D145" s="178"/>
      <c r="E145" s="107" t="s">
        <v>25</v>
      </c>
      <c r="F145" s="108" t="s">
        <v>26</v>
      </c>
      <c r="G145" s="107" t="s">
        <v>27</v>
      </c>
    </row>
    <row r="146" spans="2:18" x14ac:dyDescent="0.2">
      <c r="B146" s="163" t="s">
        <v>95</v>
      </c>
      <c r="C146" s="110" t="s">
        <v>43</v>
      </c>
      <c r="D146" s="111">
        <v>1180</v>
      </c>
      <c r="E146" s="112">
        <f>77.53+52.95</f>
        <v>130.48000000000002</v>
      </c>
      <c r="F146" s="113">
        <f t="shared" ref="F146:F158" si="50">E146/$E$158</f>
        <v>0.15359080903558442</v>
      </c>
      <c r="G146" s="114">
        <f>SUM(E147:E$157)/$E$158</f>
        <v>0.84640919096441558</v>
      </c>
    </row>
    <row r="147" spans="2:18" x14ac:dyDescent="0.2">
      <c r="B147" s="163" t="s">
        <v>44</v>
      </c>
      <c r="C147" s="111" t="s">
        <v>45</v>
      </c>
      <c r="D147" s="111">
        <v>600</v>
      </c>
      <c r="E147" s="112">
        <f>103.75+79.86</f>
        <v>183.61</v>
      </c>
      <c r="F147" s="113">
        <f t="shared" si="50"/>
        <v>0.21613127258601816</v>
      </c>
      <c r="G147" s="114">
        <f>SUM(E148:E$157)/$E$158</f>
        <v>0.63027791837839753</v>
      </c>
    </row>
    <row r="148" spans="2:18" x14ac:dyDescent="0.2">
      <c r="B148" s="164">
        <f>FORECAST(0.8,D146:D147,G146:G147)</f>
        <v>1055.4584172975328</v>
      </c>
      <c r="C148" s="111" t="s">
        <v>46</v>
      </c>
      <c r="D148" s="111">
        <v>425</v>
      </c>
      <c r="E148" s="112">
        <f>79.21+63.09</f>
        <v>142.30000000000001</v>
      </c>
      <c r="F148" s="113">
        <f t="shared" si="50"/>
        <v>0.16750438477746521</v>
      </c>
      <c r="G148" s="114">
        <f>SUM(E149:E$157)/$E$158</f>
        <v>0.46277353360093232</v>
      </c>
    </row>
    <row r="149" spans="2:18" x14ac:dyDescent="0.2">
      <c r="B149" s="118"/>
      <c r="C149" s="111" t="s">
        <v>47</v>
      </c>
      <c r="D149" s="111">
        <v>300</v>
      </c>
      <c r="E149" s="112">
        <f>95.52+85.92</f>
        <v>181.44</v>
      </c>
      <c r="F149" s="113">
        <f t="shared" si="50"/>
        <v>0.21357691900227185</v>
      </c>
      <c r="G149" s="114">
        <f>SUM(E150:E$157)/$E$158</f>
        <v>0.24919661459866044</v>
      </c>
      <c r="H149" s="116"/>
      <c r="J149" s="143">
        <f t="shared" ref="J149:J156" si="51">J134</f>
        <v>8.2663207955036757E-3</v>
      </c>
      <c r="K149" s="143">
        <f>1-J149</f>
        <v>0.99173367920449629</v>
      </c>
      <c r="L149" s="143">
        <f>SUM($F$146:F149)</f>
        <v>0.75080338540133962</v>
      </c>
      <c r="M149" s="143">
        <v>1</v>
      </c>
      <c r="N149" s="144">
        <f>+(L149-J149)/(L149+M149-1)</f>
        <v>0.98899003260209728</v>
      </c>
      <c r="O149" s="145">
        <f>1-N149</f>
        <v>1.100996739790272E-2</v>
      </c>
      <c r="P149" s="144">
        <f>+N149*M149/K149</f>
        <v>0.99723348449293381</v>
      </c>
      <c r="Q149" s="144">
        <f>+O149*L149/J149</f>
        <v>1.0000000000000078</v>
      </c>
      <c r="R149" s="146">
        <f>+N149*M149+O149*L149</f>
        <v>0.99725635339760099</v>
      </c>
    </row>
    <row r="150" spans="2:18" x14ac:dyDescent="0.2">
      <c r="B150" s="118"/>
      <c r="C150" s="119" t="s">
        <v>48</v>
      </c>
      <c r="D150" s="120">
        <v>212</v>
      </c>
      <c r="E150" s="121">
        <f>59.26+61.24</f>
        <v>120.5</v>
      </c>
      <c r="F150" s="122">
        <f t="shared" si="50"/>
        <v>0.1418431367932857</v>
      </c>
      <c r="G150" s="123">
        <f>SUM(E151:E$157)/$E$158</f>
        <v>0.10735347780537474</v>
      </c>
      <c r="H150" s="124">
        <f>SUM(F151:F157)*100</f>
        <v>10.735347780537477</v>
      </c>
      <c r="I150" s="116">
        <f>($I$208-H150)/($I$208*(100-H150))*10000</f>
        <v>87.080261309056411</v>
      </c>
      <c r="J150" s="143">
        <f t="shared" si="51"/>
        <v>8.7401642888024197E-2</v>
      </c>
      <c r="K150" s="143">
        <f t="shared" ref="K150:K156" si="52">1-J150</f>
        <v>0.91259835711197579</v>
      </c>
      <c r="L150" s="143">
        <f>SUM($F$146:F150)</f>
        <v>0.89264652219462537</v>
      </c>
      <c r="M150" s="143">
        <v>1</v>
      </c>
      <c r="N150" s="144">
        <f t="shared" ref="N150:N156" si="53">+(L150-J150)/(L150+M150-1)</f>
        <v>0.9020870627791816</v>
      </c>
      <c r="O150" s="145">
        <f t="shared" ref="O150:O156" si="54">1-N150</f>
        <v>9.7912937220818397E-2</v>
      </c>
      <c r="P150" s="144">
        <f t="shared" ref="P150:P156" si="55">+N150*M150/K150</f>
        <v>0.98848201484160192</v>
      </c>
      <c r="Q150" s="144">
        <f t="shared" ref="Q150:Q156" si="56">+O150*L150/J150</f>
        <v>1.0000000000000002</v>
      </c>
      <c r="R150" s="146">
        <f t="shared" ref="R150:R156" si="57">+N150*M150+O150*L150</f>
        <v>0.98948870566720581</v>
      </c>
    </row>
    <row r="151" spans="2:18" x14ac:dyDescent="0.2">
      <c r="B151" s="118"/>
      <c r="C151" s="119" t="s">
        <v>49</v>
      </c>
      <c r="D151" s="125">
        <v>180</v>
      </c>
      <c r="E151" s="126">
        <f>11.84+10.83</f>
        <v>22.67</v>
      </c>
      <c r="F151" s="113">
        <f t="shared" si="50"/>
        <v>2.6685343660612343E-2</v>
      </c>
      <c r="G151" s="114">
        <f>SUM(E152:E$157)/$E$158</f>
        <v>8.0668134144762399E-2</v>
      </c>
      <c r="J151" s="143">
        <f t="shared" si="51"/>
        <v>0.13537397319498484</v>
      </c>
      <c r="K151" s="143">
        <f t="shared" si="52"/>
        <v>0.86462602680501521</v>
      </c>
      <c r="L151" s="143">
        <f>SUM($F$146:F151)</f>
        <v>0.91933186585523774</v>
      </c>
      <c r="M151" s="143">
        <v>1</v>
      </c>
      <c r="N151" s="144">
        <f t="shared" si="53"/>
        <v>0.85274743732607483</v>
      </c>
      <c r="O151" s="145">
        <f t="shared" si="54"/>
        <v>0.14725256267392517</v>
      </c>
      <c r="P151" s="144">
        <f t="shared" si="55"/>
        <v>0.98626158696282318</v>
      </c>
      <c r="Q151" s="144">
        <f t="shared" si="56"/>
        <v>1.0000000000000009</v>
      </c>
      <c r="R151" s="146">
        <f t="shared" si="57"/>
        <v>0.98812141052105984</v>
      </c>
    </row>
    <row r="152" spans="2:18" x14ac:dyDescent="0.2">
      <c r="B152" s="118"/>
      <c r="C152" s="119" t="s">
        <v>50</v>
      </c>
      <c r="D152" s="125">
        <v>150</v>
      </c>
      <c r="E152" s="126">
        <v>13.3</v>
      </c>
      <c r="F152" s="113">
        <f t="shared" si="50"/>
        <v>1.5655715513283819E-2</v>
      </c>
      <c r="G152" s="114">
        <f>SUM(E153:E$157)/$E$158</f>
        <v>6.5012418631478594E-2</v>
      </c>
      <c r="J152" s="143">
        <f t="shared" si="51"/>
        <v>0.21016861219195848</v>
      </c>
      <c r="K152" s="143">
        <f t="shared" si="52"/>
        <v>0.78983138780804152</v>
      </c>
      <c r="L152" s="143">
        <f>SUM($F$146:F152)</f>
        <v>0.93498758136852156</v>
      </c>
      <c r="M152" s="143">
        <v>1</v>
      </c>
      <c r="N152" s="144">
        <f t="shared" si="53"/>
        <v>0.77521775007499127</v>
      </c>
      <c r="O152" s="145">
        <f t="shared" si="54"/>
        <v>0.22478224992500873</v>
      </c>
      <c r="P152" s="144">
        <f t="shared" si="55"/>
        <v>0.98149777540038474</v>
      </c>
      <c r="Q152" s="144">
        <f t="shared" si="56"/>
        <v>0.99999999999999989</v>
      </c>
      <c r="R152" s="146">
        <f t="shared" si="57"/>
        <v>0.98538636226694976</v>
      </c>
    </row>
    <row r="153" spans="2:18" x14ac:dyDescent="0.2">
      <c r="B153" s="118"/>
      <c r="C153" s="119" t="s">
        <v>51</v>
      </c>
      <c r="D153" s="125">
        <v>106</v>
      </c>
      <c r="E153" s="150">
        <v>13.23</v>
      </c>
      <c r="F153" s="113">
        <f t="shared" si="50"/>
        <v>1.5573317010582323E-2</v>
      </c>
      <c r="G153" s="114">
        <f>SUM(E154:E$157)/$E$158</f>
        <v>4.9439101620896264E-2</v>
      </c>
      <c r="J153" s="143">
        <f t="shared" si="51"/>
        <v>0.35192390834414178</v>
      </c>
      <c r="K153" s="143">
        <f t="shared" si="52"/>
        <v>0.64807609165585822</v>
      </c>
      <c r="L153" s="143">
        <f>SUM($F$146:F153)</f>
        <v>0.95056089837910385</v>
      </c>
      <c r="M153" s="143">
        <v>1</v>
      </c>
      <c r="N153" s="144">
        <f t="shared" si="53"/>
        <v>0.62977237024556521</v>
      </c>
      <c r="O153" s="145">
        <f t="shared" si="54"/>
        <v>0.37022762975443479</v>
      </c>
      <c r="P153" s="144">
        <f t="shared" si="55"/>
        <v>0.9717568328071996</v>
      </c>
      <c r="Q153" s="144">
        <f t="shared" si="56"/>
        <v>1</v>
      </c>
      <c r="R153" s="146">
        <f t="shared" si="57"/>
        <v>0.98169627858970698</v>
      </c>
    </row>
    <row r="154" spans="2:18" x14ac:dyDescent="0.2">
      <c r="B154" s="118"/>
      <c r="C154" s="119" t="s">
        <v>52</v>
      </c>
      <c r="D154" s="125">
        <v>75</v>
      </c>
      <c r="E154" s="126">
        <v>6.13</v>
      </c>
      <c r="F154" s="113">
        <f t="shared" si="50"/>
        <v>7.215754593716526E-3</v>
      </c>
      <c r="G154" s="114">
        <f>SUM(E155:E$157)/$E$158</f>
        <v>4.2223347027179732E-2</v>
      </c>
      <c r="J154" s="143">
        <f t="shared" si="51"/>
        <v>0.46749675745784691</v>
      </c>
      <c r="K154" s="143">
        <f t="shared" si="52"/>
        <v>0.53250324254215309</v>
      </c>
      <c r="L154" s="143">
        <f>SUM($F$146:F154)</f>
        <v>0.95777665297282033</v>
      </c>
      <c r="M154" s="143">
        <v>1</v>
      </c>
      <c r="N154" s="144">
        <f t="shared" si="53"/>
        <v>0.51189376353370619</v>
      </c>
      <c r="O154" s="145">
        <f t="shared" si="54"/>
        <v>0.48810623646629381</v>
      </c>
      <c r="P154" s="144">
        <f t="shared" si="55"/>
        <v>0.96129698870929325</v>
      </c>
      <c r="Q154" s="144">
        <f t="shared" si="56"/>
        <v>0.99999999999999989</v>
      </c>
      <c r="R154" s="146">
        <f t="shared" si="57"/>
        <v>0.97939052099155299</v>
      </c>
    </row>
    <row r="155" spans="2:18" x14ac:dyDescent="0.2">
      <c r="B155" s="118"/>
      <c r="C155" s="119" t="s">
        <v>53</v>
      </c>
      <c r="D155" s="125">
        <v>53</v>
      </c>
      <c r="E155" s="126">
        <v>4.7</v>
      </c>
      <c r="F155" s="113">
        <f t="shared" si="50"/>
        <v>5.5324708956717246E-3</v>
      </c>
      <c r="G155" s="114">
        <f>SUM(E156:E$157)/$E$158</f>
        <v>3.669087613150801E-2</v>
      </c>
      <c r="J155" s="143">
        <f t="shared" si="51"/>
        <v>0.5675918720276697</v>
      </c>
      <c r="K155" s="143">
        <f t="shared" si="52"/>
        <v>0.4324081279723303</v>
      </c>
      <c r="L155" s="143">
        <f>SUM($F$146:F155)</f>
        <v>0.9633091238684921</v>
      </c>
      <c r="M155" s="143">
        <v>1</v>
      </c>
      <c r="N155" s="144">
        <f t="shared" si="53"/>
        <v>0.41078947768260154</v>
      </c>
      <c r="O155" s="145">
        <f t="shared" si="54"/>
        <v>0.58921052231739846</v>
      </c>
      <c r="P155" s="144">
        <f t="shared" si="55"/>
        <v>0.95000406123006054</v>
      </c>
      <c r="Q155" s="144">
        <f t="shared" si="56"/>
        <v>1</v>
      </c>
      <c r="R155" s="146">
        <f t="shared" si="57"/>
        <v>0.97838134971027124</v>
      </c>
    </row>
    <row r="156" spans="2:18" x14ac:dyDescent="0.2">
      <c r="B156" s="118"/>
      <c r="C156" s="119" t="s">
        <v>54</v>
      </c>
      <c r="D156" s="125">
        <v>38</v>
      </c>
      <c r="E156" s="126">
        <v>3.26</v>
      </c>
      <c r="F156" s="113">
        <f t="shared" si="50"/>
        <v>3.8374159829552812E-3</v>
      </c>
      <c r="G156" s="114">
        <f>SUM(E157:E$157)/$E$158</f>
        <v>3.2853460148552734E-2</v>
      </c>
      <c r="J156" s="143">
        <f t="shared" si="51"/>
        <v>0.63714656290531779</v>
      </c>
      <c r="K156" s="143">
        <f t="shared" si="52"/>
        <v>0.36285343709468221</v>
      </c>
      <c r="L156" s="143">
        <f>SUM($F$146:F156)</f>
        <v>0.96714653985144738</v>
      </c>
      <c r="M156" s="143">
        <v>1</v>
      </c>
      <c r="N156" s="144">
        <f t="shared" si="53"/>
        <v>0.3412099028931202</v>
      </c>
      <c r="O156" s="145">
        <f t="shared" si="54"/>
        <v>0.65879009710687986</v>
      </c>
      <c r="P156" s="144">
        <f t="shared" si="55"/>
        <v>0.94035185562838031</v>
      </c>
      <c r="Q156" s="144">
        <f t="shared" si="56"/>
        <v>1.0000000000000002</v>
      </c>
      <c r="R156" s="146">
        <f t="shared" si="57"/>
        <v>0.97835646579843805</v>
      </c>
    </row>
    <row r="157" spans="2:18" x14ac:dyDescent="0.2">
      <c r="B157" s="127"/>
      <c r="C157" s="128">
        <v>-38</v>
      </c>
      <c r="D157" s="129"/>
      <c r="E157" s="130">
        <v>27.91</v>
      </c>
      <c r="F157" s="113">
        <f t="shared" si="50"/>
        <v>3.2853460148552734E-2</v>
      </c>
      <c r="G157" s="131"/>
      <c r="J157" s="143"/>
    </row>
    <row r="158" spans="2:18" x14ac:dyDescent="0.2">
      <c r="B158" s="132"/>
      <c r="C158" s="133" t="s">
        <v>55</v>
      </c>
      <c r="D158" s="134"/>
      <c r="E158" s="135">
        <f>SUM(E146:E157)</f>
        <v>849.53</v>
      </c>
      <c r="F158" s="136">
        <f t="shared" si="50"/>
        <v>1</v>
      </c>
      <c r="G158" s="135"/>
      <c r="J158" s="143"/>
    </row>
    <row r="159" spans="2:18" x14ac:dyDescent="0.2">
      <c r="C159" s="137"/>
      <c r="D159" s="138"/>
      <c r="E159" s="139"/>
      <c r="F159" s="140"/>
      <c r="G159" s="139"/>
      <c r="J159" s="143"/>
    </row>
    <row r="160" spans="2:18" x14ac:dyDescent="0.2">
      <c r="B160" s="162" t="s">
        <v>23</v>
      </c>
      <c r="C160" s="177" t="s">
        <v>24</v>
      </c>
      <c r="D160" s="178"/>
      <c r="E160" s="107" t="s">
        <v>25</v>
      </c>
      <c r="F160" s="108" t="s">
        <v>26</v>
      </c>
      <c r="G160" s="107" t="s">
        <v>27</v>
      </c>
      <c r="J160" s="143"/>
    </row>
    <row r="161" spans="2:18" x14ac:dyDescent="0.2">
      <c r="B161" s="163" t="s">
        <v>96</v>
      </c>
      <c r="C161" s="110" t="s">
        <v>43</v>
      </c>
      <c r="D161" s="111">
        <v>1180</v>
      </c>
      <c r="E161" s="112">
        <f>201.6+104.87</f>
        <v>306.47000000000003</v>
      </c>
      <c r="F161" s="113">
        <f t="shared" ref="F161:F173" si="58">E161/$E$173</f>
        <v>0.18545727408608723</v>
      </c>
      <c r="G161" s="114">
        <f>SUM(E162:E$172)/$E$173</f>
        <v>0.81454272591391275</v>
      </c>
      <c r="J161" s="143"/>
    </row>
    <row r="162" spans="2:18" x14ac:dyDescent="0.2">
      <c r="B162" s="163" t="s">
        <v>44</v>
      </c>
      <c r="C162" s="111" t="s">
        <v>45</v>
      </c>
      <c r="D162" s="111">
        <v>600</v>
      </c>
      <c r="E162" s="112">
        <f>203.38+128.45</f>
        <v>331.83</v>
      </c>
      <c r="F162" s="113">
        <f t="shared" si="58"/>
        <v>0.20080362599923748</v>
      </c>
      <c r="G162" s="114">
        <f>SUM(E163:E$172)/$E$173</f>
        <v>0.61373909991467512</v>
      </c>
      <c r="J162" s="143"/>
    </row>
    <row r="163" spans="2:18" x14ac:dyDescent="0.2">
      <c r="B163" s="164">
        <f>FORECAST(0.8,D161:D162,G161:G162)</f>
        <v>1137.9948768947957</v>
      </c>
      <c r="C163" s="111" t="s">
        <v>46</v>
      </c>
      <c r="D163" s="111">
        <v>425</v>
      </c>
      <c r="E163" s="112">
        <f>156.46+105.73</f>
        <v>262.19</v>
      </c>
      <c r="F163" s="113">
        <f t="shared" si="58"/>
        <v>0.15866167224404087</v>
      </c>
      <c r="G163" s="114">
        <f>SUM(E164:E$172)/$E$173</f>
        <v>0.4550774276706343</v>
      </c>
      <c r="J163" s="143"/>
    </row>
    <row r="164" spans="2:18" x14ac:dyDescent="0.2">
      <c r="B164" s="118"/>
      <c r="C164" s="111" t="s">
        <v>47</v>
      </c>
      <c r="D164" s="111">
        <v>300</v>
      </c>
      <c r="E164" s="112">
        <f>171.65+133.96</f>
        <v>305.61</v>
      </c>
      <c r="F164" s="113">
        <f t="shared" si="58"/>
        <v>0.18493685363477375</v>
      </c>
      <c r="G164" s="114">
        <f>SUM(E165:E$172)/$E$173</f>
        <v>0.27014057403586056</v>
      </c>
      <c r="H164" s="116"/>
      <c r="J164" s="143">
        <f t="shared" ref="J164:J171" si="59">J149</f>
        <v>8.2663207955036757E-3</v>
      </c>
      <c r="K164" s="143">
        <f>1-J164</f>
        <v>0.99173367920449629</v>
      </c>
      <c r="L164" s="143">
        <f>SUM($F$161:F164)</f>
        <v>0.72985942596413933</v>
      </c>
      <c r="M164" s="143">
        <v>1</v>
      </c>
      <c r="N164" s="144">
        <f>+(L164-J164)/(L164+M164-1)</f>
        <v>0.98867409188477084</v>
      </c>
      <c r="O164" s="145">
        <f>1-N164</f>
        <v>1.1325908115229155E-2</v>
      </c>
      <c r="P164" s="144">
        <f>+N164*M164/K164</f>
        <v>0.99691491033945767</v>
      </c>
      <c r="Q164" s="144">
        <f>+O164*L164/J164</f>
        <v>1.0000000000000075</v>
      </c>
      <c r="R164" s="146">
        <f>+N164*M164+O164*L164</f>
        <v>0.99694041268027456</v>
      </c>
    </row>
    <row r="165" spans="2:18" x14ac:dyDescent="0.2">
      <c r="B165" s="118"/>
      <c r="C165" s="119" t="s">
        <v>48</v>
      </c>
      <c r="D165" s="120">
        <v>212</v>
      </c>
      <c r="E165" s="121">
        <f>94.17+80.73</f>
        <v>174.9</v>
      </c>
      <c r="F165" s="122">
        <f t="shared" si="58"/>
        <v>0.10583899643572504</v>
      </c>
      <c r="G165" s="123">
        <f>SUM(E166:E$172)/$E$173</f>
        <v>0.16430157760013553</v>
      </c>
      <c r="H165" s="124">
        <f>SUM(F166:F172)*100</f>
        <v>16.430157760013554</v>
      </c>
      <c r="I165" s="116">
        <f>($I$208-H165)/($I$208*(100-H165))*10000</f>
        <v>78.879252721596444</v>
      </c>
      <c r="J165" s="143">
        <f t="shared" si="59"/>
        <v>8.7401642888024197E-2</v>
      </c>
      <c r="K165" s="143">
        <f t="shared" ref="K165:K171" si="60">1-J165</f>
        <v>0.91259835711197579</v>
      </c>
      <c r="L165" s="143">
        <f>SUM($F$161:F165)</f>
        <v>0.83569842239986436</v>
      </c>
      <c r="M165" s="143">
        <v>1</v>
      </c>
      <c r="N165" s="144">
        <f t="shared" ref="N165:N171" si="61">+(L165-J165)/(L165+M165-1)</f>
        <v>0.89541485236141294</v>
      </c>
      <c r="O165" s="145">
        <f t="shared" ref="O165:O171" si="62">1-N165</f>
        <v>0.10458514763858706</v>
      </c>
      <c r="P165" s="144">
        <f t="shared" ref="P165:P171" si="63">+N165*M165/K165</f>
        <v>0.98117079149151432</v>
      </c>
      <c r="Q165" s="144">
        <f t="shared" ref="Q165:Q171" si="64">+O165*L165/J165</f>
        <v>0.99999999999999889</v>
      </c>
      <c r="R165" s="146">
        <f t="shared" ref="R165:R171" si="65">+N165*M165+O165*L165</f>
        <v>0.98281649524943704</v>
      </c>
    </row>
    <row r="166" spans="2:18" x14ac:dyDescent="0.2">
      <c r="B166" s="118"/>
      <c r="C166" s="119" t="s">
        <v>49</v>
      </c>
      <c r="D166" s="125">
        <v>180</v>
      </c>
      <c r="E166" s="126">
        <f>18.26+13.54</f>
        <v>31.8</v>
      </c>
      <c r="F166" s="113">
        <f t="shared" si="58"/>
        <v>1.9243453897404551E-2</v>
      </c>
      <c r="G166" s="114">
        <f>SUM(E167:E$172)/$E$173</f>
        <v>0.14505812370273097</v>
      </c>
      <c r="J166" s="143">
        <f t="shared" si="59"/>
        <v>0.13537397319498484</v>
      </c>
      <c r="K166" s="143">
        <f t="shared" si="60"/>
        <v>0.86462602680501521</v>
      </c>
      <c r="L166" s="143">
        <f>SUM($F$161:F166)</f>
        <v>0.85494187629726892</v>
      </c>
      <c r="M166" s="143">
        <v>1</v>
      </c>
      <c r="N166" s="144">
        <f t="shared" si="61"/>
        <v>0.841657103309425</v>
      </c>
      <c r="O166" s="145">
        <f t="shared" si="62"/>
        <v>0.158342896690575</v>
      </c>
      <c r="P166" s="144">
        <f t="shared" si="63"/>
        <v>0.97343484606811403</v>
      </c>
      <c r="Q166" s="144">
        <f t="shared" si="64"/>
        <v>0.99999999999999978</v>
      </c>
      <c r="R166" s="146">
        <f t="shared" si="65"/>
        <v>0.97703107650440979</v>
      </c>
    </row>
    <row r="167" spans="2:18" x14ac:dyDescent="0.2">
      <c r="B167" s="118"/>
      <c r="C167" s="119" t="s">
        <v>50</v>
      </c>
      <c r="D167" s="125">
        <v>150</v>
      </c>
      <c r="E167" s="126">
        <v>37.5</v>
      </c>
      <c r="F167" s="113">
        <f t="shared" si="58"/>
        <v>2.2692752237505366E-2</v>
      </c>
      <c r="G167" s="114">
        <f>SUM(E168:E$172)/$E$173</f>
        <v>0.12236537146522561</v>
      </c>
      <c r="J167" s="143">
        <f t="shared" si="59"/>
        <v>0.21016861219195848</v>
      </c>
      <c r="K167" s="143">
        <f t="shared" si="60"/>
        <v>0.78983138780804152</v>
      </c>
      <c r="L167" s="143">
        <f>SUM($F$161:F167)</f>
        <v>0.87763462853477425</v>
      </c>
      <c r="M167" s="143">
        <v>1</v>
      </c>
      <c r="N167" s="144">
        <f t="shared" si="61"/>
        <v>0.76052835045622746</v>
      </c>
      <c r="O167" s="145">
        <f t="shared" si="62"/>
        <v>0.23947164954377254</v>
      </c>
      <c r="P167" s="144">
        <f t="shared" si="63"/>
        <v>0.96289962920676464</v>
      </c>
      <c r="Q167" s="144">
        <f t="shared" si="64"/>
        <v>0.99999999999999989</v>
      </c>
      <c r="R167" s="146">
        <f t="shared" si="65"/>
        <v>0.97069696264818595</v>
      </c>
    </row>
    <row r="168" spans="2:18" x14ac:dyDescent="0.2">
      <c r="B168" s="118"/>
      <c r="C168" s="119" t="s">
        <v>51</v>
      </c>
      <c r="D168" s="125">
        <v>106</v>
      </c>
      <c r="E168" s="126">
        <v>38.71</v>
      </c>
      <c r="F168" s="113">
        <f t="shared" si="58"/>
        <v>2.3424971709702209E-2</v>
      </c>
      <c r="G168" s="114">
        <f>SUM(E169:E$172)/$E$173</f>
        <v>9.8940399755523406E-2</v>
      </c>
      <c r="J168" s="143">
        <f t="shared" si="59"/>
        <v>0.35192390834414178</v>
      </c>
      <c r="K168" s="143">
        <f t="shared" si="60"/>
        <v>0.64807609165585822</v>
      </c>
      <c r="L168" s="143">
        <f>SUM($F$161:F168)</f>
        <v>0.90105960024447651</v>
      </c>
      <c r="M168" s="143">
        <v>1</v>
      </c>
      <c r="N168" s="144">
        <f t="shared" si="61"/>
        <v>0.60943326251819818</v>
      </c>
      <c r="O168" s="145">
        <f t="shared" si="62"/>
        <v>0.39056673748180182</v>
      </c>
      <c r="P168" s="144">
        <f t="shared" si="63"/>
        <v>0.94037300614048858</v>
      </c>
      <c r="Q168" s="144">
        <f t="shared" si="64"/>
        <v>0.99999999999999989</v>
      </c>
      <c r="R168" s="146">
        <f t="shared" si="65"/>
        <v>0.96135717086233985</v>
      </c>
    </row>
    <row r="169" spans="2:18" x14ac:dyDescent="0.2">
      <c r="B169" s="118"/>
      <c r="C169" s="119" t="s">
        <v>52</v>
      </c>
      <c r="D169" s="125">
        <v>75</v>
      </c>
      <c r="E169" s="126">
        <v>23.94</v>
      </c>
      <c r="F169" s="113">
        <f t="shared" si="58"/>
        <v>1.4487053028423428E-2</v>
      </c>
      <c r="G169" s="114">
        <f>SUM(E170:E$172)/$E$173</f>
        <v>8.4453346727099976E-2</v>
      </c>
      <c r="J169" s="143">
        <f t="shared" si="59"/>
        <v>0.46749675745784691</v>
      </c>
      <c r="K169" s="143">
        <f t="shared" si="60"/>
        <v>0.53250324254215309</v>
      </c>
      <c r="L169" s="143">
        <f>SUM($F$161:F169)</f>
        <v>0.91554665327289997</v>
      </c>
      <c r="M169" s="143">
        <v>1</v>
      </c>
      <c r="N169" s="144">
        <f t="shared" si="61"/>
        <v>0.48937964462363814</v>
      </c>
      <c r="O169" s="145">
        <f t="shared" si="62"/>
        <v>0.51062035537636186</v>
      </c>
      <c r="P169" s="144">
        <f t="shared" si="63"/>
        <v>0.91901721065087927</v>
      </c>
      <c r="Q169" s="144">
        <f t="shared" si="64"/>
        <v>1</v>
      </c>
      <c r="R169" s="146">
        <f t="shared" si="65"/>
        <v>0.95687640208148506</v>
      </c>
    </row>
    <row r="170" spans="2:18" x14ac:dyDescent="0.2">
      <c r="B170" s="118"/>
      <c r="C170" s="119" t="s">
        <v>53</v>
      </c>
      <c r="D170" s="125">
        <v>53</v>
      </c>
      <c r="E170" s="126">
        <v>20.04</v>
      </c>
      <c r="F170" s="113">
        <f t="shared" si="58"/>
        <v>1.2127006795722869E-2</v>
      </c>
      <c r="G170" s="114">
        <f>SUM(E171:E$172)/$E$173</f>
        <v>7.2326339931377118E-2</v>
      </c>
      <c r="J170" s="143">
        <f t="shared" si="59"/>
        <v>0.5675918720276697</v>
      </c>
      <c r="K170" s="143">
        <f t="shared" si="60"/>
        <v>0.4324081279723303</v>
      </c>
      <c r="L170" s="143">
        <f>SUM($F$161:F170)</f>
        <v>0.92767366006862284</v>
      </c>
      <c r="M170" s="143">
        <v>1</v>
      </c>
      <c r="N170" s="144">
        <f t="shared" si="61"/>
        <v>0.38815566673987145</v>
      </c>
      <c r="O170" s="145">
        <f t="shared" si="62"/>
        <v>0.61184433326012855</v>
      </c>
      <c r="P170" s="144">
        <f t="shared" si="63"/>
        <v>0.89766043150028263</v>
      </c>
      <c r="Q170" s="144">
        <f t="shared" si="64"/>
        <v>1</v>
      </c>
      <c r="R170" s="146">
        <f t="shared" si="65"/>
        <v>0.95574753876754115</v>
      </c>
    </row>
    <row r="171" spans="2:18" x14ac:dyDescent="0.2">
      <c r="B171" s="118"/>
      <c r="C171" s="119" t="s">
        <v>54</v>
      </c>
      <c r="D171" s="125">
        <v>38</v>
      </c>
      <c r="E171" s="126">
        <v>15.14</v>
      </c>
      <c r="F171" s="113">
        <f t="shared" si="58"/>
        <v>9.1618205033555007E-3</v>
      </c>
      <c r="G171" s="114">
        <f>SUM(E172:E$172)/$E$173</f>
        <v>6.3164519428021607E-2</v>
      </c>
      <c r="J171" s="143">
        <f t="shared" si="59"/>
        <v>0.63714656290531779</v>
      </c>
      <c r="K171" s="143">
        <f t="shared" si="60"/>
        <v>0.36285343709468221</v>
      </c>
      <c r="L171" s="143">
        <f>SUM($F$161:F171)</f>
        <v>0.9368354805719783</v>
      </c>
      <c r="M171" s="143">
        <v>1</v>
      </c>
      <c r="N171" s="144">
        <f t="shared" si="61"/>
        <v>0.31989492699794797</v>
      </c>
      <c r="O171" s="145">
        <f t="shared" si="62"/>
        <v>0.68010507300205203</v>
      </c>
      <c r="P171" s="144">
        <f t="shared" si="63"/>
        <v>0.88160919615176547</v>
      </c>
      <c r="Q171" s="144">
        <f t="shared" si="64"/>
        <v>1</v>
      </c>
      <c r="R171" s="146">
        <f t="shared" si="65"/>
        <v>0.95704148990326576</v>
      </c>
    </row>
    <row r="172" spans="2:18" x14ac:dyDescent="0.2">
      <c r="B172" s="127"/>
      <c r="C172" s="128">
        <v>-38</v>
      </c>
      <c r="D172" s="129"/>
      <c r="E172" s="130">
        <f>4.79+99.59</f>
        <v>104.38000000000001</v>
      </c>
      <c r="F172" s="113">
        <f t="shared" si="58"/>
        <v>6.3164519428021607E-2</v>
      </c>
      <c r="G172" s="131"/>
    </row>
    <row r="173" spans="2:18" x14ac:dyDescent="0.2">
      <c r="B173" s="132"/>
      <c r="C173" s="133" t="s">
        <v>55</v>
      </c>
      <c r="D173" s="134"/>
      <c r="E173" s="135">
        <f>SUM(E161:E172)</f>
        <v>1652.5100000000002</v>
      </c>
      <c r="F173" s="136">
        <f t="shared" si="58"/>
        <v>1</v>
      </c>
      <c r="G173" s="135"/>
    </row>
    <row r="174" spans="2:18" x14ac:dyDescent="0.2">
      <c r="C174" s="137"/>
      <c r="D174" s="138"/>
      <c r="E174" s="139"/>
      <c r="F174" s="140"/>
      <c r="G174" s="139"/>
    </row>
    <row r="175" spans="2:18" x14ac:dyDescent="0.2">
      <c r="B175" s="162" t="s">
        <v>23</v>
      </c>
      <c r="C175" s="177" t="s">
        <v>24</v>
      </c>
      <c r="D175" s="178"/>
      <c r="E175" s="107" t="s">
        <v>25</v>
      </c>
      <c r="F175" s="108" t="s">
        <v>26</v>
      </c>
      <c r="G175" s="107" t="s">
        <v>27</v>
      </c>
    </row>
    <row r="176" spans="2:18" x14ac:dyDescent="0.2">
      <c r="B176" s="163" t="s">
        <v>97</v>
      </c>
      <c r="C176" s="110" t="s">
        <v>43</v>
      </c>
      <c r="D176" s="111">
        <v>1180</v>
      </c>
      <c r="E176" s="112">
        <v>57.67</v>
      </c>
      <c r="F176" s="113">
        <f t="shared" ref="F176:F188" si="66">E176/$E$188</f>
        <v>0.10360562671792753</v>
      </c>
      <c r="G176" s="114">
        <f>SUM(E177:E$187)/$E$188</f>
        <v>0.89639437328207228</v>
      </c>
    </row>
    <row r="177" spans="2:18" x14ac:dyDescent="0.2">
      <c r="B177" s="163" t="s">
        <v>44</v>
      </c>
      <c r="C177" s="111" t="s">
        <v>45</v>
      </c>
      <c r="D177" s="111">
        <v>600</v>
      </c>
      <c r="E177" s="112">
        <v>108.29</v>
      </c>
      <c r="F177" s="113">
        <f t="shared" si="66"/>
        <v>0.19454574852235779</v>
      </c>
      <c r="G177" s="114">
        <f>SUM(E178:E$187)/$E$188</f>
        <v>0.70184862475971443</v>
      </c>
    </row>
    <row r="178" spans="2:18" x14ac:dyDescent="0.2">
      <c r="B178" s="164">
        <f>FORECAST(0.8,D176:D177,G176:G177)</f>
        <v>892.61907840059166</v>
      </c>
      <c r="C178" s="111" t="s">
        <v>46</v>
      </c>
      <c r="D178" s="111">
        <v>425</v>
      </c>
      <c r="E178" s="112">
        <v>111.61</v>
      </c>
      <c r="F178" s="113">
        <f t="shared" si="66"/>
        <v>0.20051021324757917</v>
      </c>
      <c r="G178" s="114">
        <f>SUM(E179:E$187)/$E$188</f>
        <v>0.50133841151213543</v>
      </c>
    </row>
    <row r="179" spans="2:18" x14ac:dyDescent="0.2">
      <c r="B179" s="118"/>
      <c r="C179" s="111" t="s">
        <v>47</v>
      </c>
      <c r="D179" s="111">
        <v>300</v>
      </c>
      <c r="E179" s="112">
        <v>140.97999999999999</v>
      </c>
      <c r="F179" s="113">
        <f t="shared" si="66"/>
        <v>0.25327416775955303</v>
      </c>
      <c r="G179" s="114">
        <f>SUM(E180:E$187)/$E$188</f>
        <v>0.24806424375258254</v>
      </c>
      <c r="H179" s="116"/>
      <c r="J179" s="145">
        <f t="shared" ref="J179:J186" si="67">J164</f>
        <v>8.2663207955036757E-3</v>
      </c>
      <c r="K179" s="143">
        <f>1-J179</f>
        <v>0.99173367920449629</v>
      </c>
      <c r="L179" s="143">
        <f>SUM($F$176:F179)</f>
        <v>0.7519357562474176</v>
      </c>
      <c r="M179" s="143">
        <v>1</v>
      </c>
      <c r="N179" s="144">
        <f>+(L179-J179)/(L179+M179-1)</f>
        <v>0.98900661296284498</v>
      </c>
      <c r="O179" s="145">
        <f>1-N179</f>
        <v>1.0993387037155022E-2</v>
      </c>
      <c r="P179" s="144">
        <f>+N179*M179/K179</f>
        <v>0.99725020305467615</v>
      </c>
      <c r="Q179" s="144">
        <f>+O179*L179/J179</f>
        <v>1.0000000000000053</v>
      </c>
      <c r="R179" s="146">
        <f>+N179*M179+O179*L179</f>
        <v>0.99727293375834869</v>
      </c>
    </row>
    <row r="180" spans="2:18" x14ac:dyDescent="0.2">
      <c r="B180" s="118"/>
      <c r="C180" s="119" t="s">
        <v>48</v>
      </c>
      <c r="D180" s="120">
        <v>212</v>
      </c>
      <c r="E180" s="121">
        <v>84.74</v>
      </c>
      <c r="F180" s="122">
        <f t="shared" si="66"/>
        <v>0.15223757253471784</v>
      </c>
      <c r="G180" s="123">
        <f>SUM(E181:E$187)/$E$188</f>
        <v>9.5826671217864659E-2</v>
      </c>
      <c r="H180" s="124">
        <f>SUM(F181:F187)*100</f>
        <v>9.5826671217864643</v>
      </c>
      <c r="I180" s="116">
        <f>($I$208-H180)/($I$208*(100-H180))*10000</f>
        <v>88.614507046925453</v>
      </c>
      <c r="J180" s="145">
        <f t="shared" si="67"/>
        <v>8.7401642888024197E-2</v>
      </c>
      <c r="K180" s="143">
        <f t="shared" ref="K180:K186" si="68">1-J180</f>
        <v>0.91259835711197579</v>
      </c>
      <c r="L180" s="143">
        <f>SUM($F$176:F180)</f>
        <v>0.90417332878213541</v>
      </c>
      <c r="M180" s="143">
        <v>1</v>
      </c>
      <c r="N180" s="144">
        <f t="shared" ref="N180:N186" si="69">+(L180-J180)/(L180+M180-1)</f>
        <v>0.90333530075948076</v>
      </c>
      <c r="O180" s="145">
        <f t="shared" ref="O180:O186" si="70">1-N180</f>
        <v>9.6664699240519236E-2</v>
      </c>
      <c r="P180" s="144">
        <f t="shared" ref="P180:P186" si="71">+N180*M180/K180</f>
        <v>0.98984979944319751</v>
      </c>
      <c r="Q180" s="144">
        <f t="shared" ref="Q180:Q186" si="72">+O180*L180/J180</f>
        <v>1.0000000000000004</v>
      </c>
      <c r="R180" s="146">
        <f t="shared" ref="R180:R186" si="73">+N180*M180+O180*L180</f>
        <v>0.99073694364750498</v>
      </c>
    </row>
    <row r="181" spans="2:18" x14ac:dyDescent="0.2">
      <c r="B181" s="118"/>
      <c r="C181" s="119" t="s">
        <v>49</v>
      </c>
      <c r="D181" s="125">
        <v>180</v>
      </c>
      <c r="E181" s="126">
        <v>13.03</v>
      </c>
      <c r="F181" s="113">
        <f t="shared" si="66"/>
        <v>2.3408727520974434E-2</v>
      </c>
      <c r="G181" s="114">
        <f>SUM(E182:E$187)/$E$188</f>
        <v>7.2417943696890225E-2</v>
      </c>
      <c r="J181" s="145">
        <f t="shared" si="67"/>
        <v>0.13537397319498484</v>
      </c>
      <c r="K181" s="143">
        <f t="shared" si="68"/>
        <v>0.86462602680501521</v>
      </c>
      <c r="L181" s="143">
        <f>SUM($F$176:F181)</f>
        <v>0.92758205630310986</v>
      </c>
      <c r="M181" s="143">
        <v>1</v>
      </c>
      <c r="N181" s="144">
        <f t="shared" si="69"/>
        <v>0.8540571453758824</v>
      </c>
      <c r="O181" s="145">
        <f t="shared" si="70"/>
        <v>0.1459428546241176</v>
      </c>
      <c r="P181" s="144">
        <f t="shared" si="71"/>
        <v>0.98777635520852036</v>
      </c>
      <c r="Q181" s="144">
        <f t="shared" si="72"/>
        <v>1</v>
      </c>
      <c r="R181" s="146">
        <f t="shared" si="73"/>
        <v>0.9894311185708673</v>
      </c>
    </row>
    <row r="182" spans="2:18" x14ac:dyDescent="0.2">
      <c r="B182" s="118"/>
      <c r="C182" s="119" t="s">
        <v>50</v>
      </c>
      <c r="D182" s="125">
        <v>150</v>
      </c>
      <c r="E182" s="150">
        <f>20.18-13.03</f>
        <v>7.15</v>
      </c>
      <c r="F182" s="113">
        <f t="shared" si="66"/>
        <v>1.2845157465461797E-2</v>
      </c>
      <c r="G182" s="114">
        <f>SUM(E183:E$187)/$E$188</f>
        <v>5.9572786231428414E-2</v>
      </c>
      <c r="J182" s="145">
        <f t="shared" si="67"/>
        <v>0.21016861219195848</v>
      </c>
      <c r="K182" s="143">
        <f t="shared" si="68"/>
        <v>0.78983138780804152</v>
      </c>
      <c r="L182" s="143">
        <f>SUM($F$176:F182)</f>
        <v>0.94042721376857163</v>
      </c>
      <c r="M182" s="143">
        <v>1</v>
      </c>
      <c r="N182" s="144">
        <f t="shared" si="69"/>
        <v>0.77651793874642316</v>
      </c>
      <c r="O182" s="145">
        <f t="shared" si="70"/>
        <v>0.22348206125357684</v>
      </c>
      <c r="P182" s="144">
        <f t="shared" si="71"/>
        <v>0.98314393519031174</v>
      </c>
      <c r="Q182" s="144">
        <f t="shared" si="72"/>
        <v>1.0000000000000002</v>
      </c>
      <c r="R182" s="146">
        <f t="shared" si="73"/>
        <v>0.98668655093838176</v>
      </c>
    </row>
    <row r="183" spans="2:18" x14ac:dyDescent="0.2">
      <c r="B183" s="118"/>
      <c r="C183" s="119" t="s">
        <v>51</v>
      </c>
      <c r="D183" s="125">
        <v>106</v>
      </c>
      <c r="E183" s="126">
        <v>7.9</v>
      </c>
      <c r="F183" s="113">
        <f t="shared" si="66"/>
        <v>1.4192551605195553E-2</v>
      </c>
      <c r="G183" s="114">
        <f>SUM(E184:E$187)/$E$188</f>
        <v>4.5380234626232863E-2</v>
      </c>
      <c r="J183" s="145">
        <f t="shared" si="67"/>
        <v>0.35192390834414178</v>
      </c>
      <c r="K183" s="143">
        <f t="shared" si="68"/>
        <v>0.64807609165585822</v>
      </c>
      <c r="L183" s="143">
        <f>SUM($F$176:F183)</f>
        <v>0.95461976537376714</v>
      </c>
      <c r="M183" s="143">
        <v>1</v>
      </c>
      <c r="N183" s="144">
        <f t="shared" si="69"/>
        <v>0.63134650977360474</v>
      </c>
      <c r="O183" s="145">
        <f t="shared" si="70"/>
        <v>0.36865349022639526</v>
      </c>
      <c r="P183" s="144">
        <f t="shared" si="71"/>
        <v>0.97418577525440142</v>
      </c>
      <c r="Q183" s="144">
        <f t="shared" si="72"/>
        <v>1</v>
      </c>
      <c r="R183" s="146">
        <f t="shared" si="73"/>
        <v>0.98327041811774651</v>
      </c>
    </row>
    <row r="184" spans="2:18" x14ac:dyDescent="0.2">
      <c r="B184" s="118"/>
      <c r="C184" s="119" t="s">
        <v>52</v>
      </c>
      <c r="D184" s="125">
        <v>75</v>
      </c>
      <c r="E184" s="126">
        <v>3.89</v>
      </c>
      <c r="F184" s="113">
        <f t="shared" si="66"/>
        <v>6.9884842714190761E-3</v>
      </c>
      <c r="G184" s="114">
        <f>SUM(E185:E$187)/$E$188</f>
        <v>3.8391750354813785E-2</v>
      </c>
      <c r="J184" s="145">
        <f t="shared" si="67"/>
        <v>0.46749675745784691</v>
      </c>
      <c r="K184" s="143">
        <f t="shared" si="68"/>
        <v>0.53250324254215309</v>
      </c>
      <c r="L184" s="143">
        <f>SUM($F$176:F184)</f>
        <v>0.96160824964518621</v>
      </c>
      <c r="M184" s="143">
        <v>1</v>
      </c>
      <c r="N184" s="144">
        <f t="shared" si="69"/>
        <v>0.51383865765466996</v>
      </c>
      <c r="O184" s="145">
        <f t="shared" si="70"/>
        <v>0.48616134234533004</v>
      </c>
      <c r="P184" s="144">
        <f t="shared" si="71"/>
        <v>0.96494934979479374</v>
      </c>
      <c r="Q184" s="144">
        <f t="shared" si="72"/>
        <v>1.0000000000000002</v>
      </c>
      <c r="R184" s="146">
        <f t="shared" si="73"/>
        <v>0.98133541511251687</v>
      </c>
    </row>
    <row r="185" spans="2:18" x14ac:dyDescent="0.2">
      <c r="B185" s="118"/>
      <c r="C185" s="119" t="s">
        <v>53</v>
      </c>
      <c r="D185" s="125">
        <v>53</v>
      </c>
      <c r="E185" s="126">
        <v>2.94</v>
      </c>
      <c r="F185" s="113">
        <f t="shared" si="66"/>
        <v>5.2817850277563196E-3</v>
      </c>
      <c r="G185" s="114">
        <f>SUM(E186:E$187)/$E$188</f>
        <v>3.310996532705747E-2</v>
      </c>
      <c r="J185" s="145">
        <f t="shared" si="67"/>
        <v>0.5675918720276697</v>
      </c>
      <c r="K185" s="143">
        <f t="shared" si="68"/>
        <v>0.4324081279723303</v>
      </c>
      <c r="L185" s="143">
        <f>SUM($F$176:F185)</f>
        <v>0.96689003467294254</v>
      </c>
      <c r="M185" s="143">
        <v>1</v>
      </c>
      <c r="N185" s="144">
        <f t="shared" si="69"/>
        <v>0.41297163930367564</v>
      </c>
      <c r="O185" s="145">
        <f t="shared" si="70"/>
        <v>0.58702836069632436</v>
      </c>
      <c r="P185" s="144">
        <f t="shared" si="71"/>
        <v>0.95505059361442346</v>
      </c>
      <c r="Q185" s="144">
        <f t="shared" si="72"/>
        <v>1</v>
      </c>
      <c r="R185" s="146">
        <f t="shared" si="73"/>
        <v>0.98056351133134534</v>
      </c>
    </row>
    <row r="186" spans="2:18" x14ac:dyDescent="0.2">
      <c r="B186" s="118"/>
      <c r="C186" s="119" t="s">
        <v>54</v>
      </c>
      <c r="D186" s="125">
        <v>38</v>
      </c>
      <c r="E186" s="130">
        <v>2.09</v>
      </c>
      <c r="F186" s="113">
        <f t="shared" si="66"/>
        <v>3.7547383360580634E-3</v>
      </c>
      <c r="G186" s="114">
        <f>SUM(E187:E$187)/$E$188</f>
        <v>2.9355226990999406E-2</v>
      </c>
      <c r="J186" s="145">
        <f t="shared" si="67"/>
        <v>0.63714656290531779</v>
      </c>
      <c r="K186" s="143">
        <f t="shared" si="68"/>
        <v>0.36285343709468221</v>
      </c>
      <c r="L186" s="143">
        <f>SUM($F$176:F186)</f>
        <v>0.97064477300900065</v>
      </c>
      <c r="M186" s="143">
        <v>1</v>
      </c>
      <c r="N186" s="144">
        <f t="shared" si="69"/>
        <v>0.34358420235431525</v>
      </c>
      <c r="O186" s="145">
        <f t="shared" si="70"/>
        <v>0.65641579764568481</v>
      </c>
      <c r="P186" s="144">
        <f t="shared" si="71"/>
        <v>0.94689526742628349</v>
      </c>
      <c r="Q186" s="144">
        <f t="shared" si="72"/>
        <v>1</v>
      </c>
      <c r="R186" s="146">
        <f t="shared" si="73"/>
        <v>0.9807307652596331</v>
      </c>
    </row>
    <row r="187" spans="2:18" x14ac:dyDescent="0.2">
      <c r="B187" s="127"/>
      <c r="C187" s="128">
        <v>-38</v>
      </c>
      <c r="D187" s="129"/>
      <c r="E187" s="130">
        <f>1.33+15.01</f>
        <v>16.34</v>
      </c>
      <c r="F187" s="113">
        <f t="shared" si="66"/>
        <v>2.9355226990999406E-2</v>
      </c>
      <c r="G187" s="131"/>
    </row>
    <row r="188" spans="2:18" x14ac:dyDescent="0.2">
      <c r="B188" s="132"/>
      <c r="C188" s="133" t="s">
        <v>55</v>
      </c>
      <c r="D188" s="134"/>
      <c r="E188" s="135">
        <f>SUM(E176:E187)</f>
        <v>556.63</v>
      </c>
      <c r="F188" s="136">
        <f t="shared" si="66"/>
        <v>1</v>
      </c>
      <c r="G188" s="135"/>
    </row>
    <row r="189" spans="2:18" x14ac:dyDescent="0.2">
      <c r="C189" s="137"/>
      <c r="D189" s="138"/>
      <c r="E189" s="139"/>
      <c r="F189" s="140"/>
      <c r="G189" s="139"/>
    </row>
    <row r="190" spans="2:18" x14ac:dyDescent="0.2">
      <c r="B190" s="162" t="s">
        <v>23</v>
      </c>
      <c r="C190" s="177" t="s">
        <v>24</v>
      </c>
      <c r="D190" s="178"/>
      <c r="E190" s="107" t="s">
        <v>25</v>
      </c>
      <c r="F190" s="108" t="s">
        <v>26</v>
      </c>
      <c r="G190" s="107" t="s">
        <v>27</v>
      </c>
    </row>
    <row r="191" spans="2:18" x14ac:dyDescent="0.2">
      <c r="B191" s="163" t="s">
        <v>98</v>
      </c>
      <c r="C191" s="110" t="s">
        <v>43</v>
      </c>
      <c r="D191" s="111">
        <v>1180</v>
      </c>
      <c r="E191" s="112">
        <v>213.77</v>
      </c>
      <c r="F191" s="113">
        <f t="shared" ref="F191:F203" si="74">E191/$E$203</f>
        <v>0.18844987481928138</v>
      </c>
      <c r="G191" s="114">
        <f>SUM(E192:E$202)/$E$203</f>
        <v>0.81155012518071878</v>
      </c>
    </row>
    <row r="192" spans="2:18" x14ac:dyDescent="0.2">
      <c r="B192" s="163" t="s">
        <v>44</v>
      </c>
      <c r="C192" s="111" t="s">
        <v>45</v>
      </c>
      <c r="D192" s="111">
        <v>600</v>
      </c>
      <c r="E192" s="112">
        <v>269.85000000000002</v>
      </c>
      <c r="F192" s="113">
        <f t="shared" si="74"/>
        <v>0.23788744313974403</v>
      </c>
      <c r="G192" s="114">
        <f>SUM(E193:E$202)/$E$203</f>
        <v>0.5736626820409747</v>
      </c>
    </row>
    <row r="193" spans="2:18" x14ac:dyDescent="0.2">
      <c r="B193" s="164">
        <f>FORECAST(0.8,D191:D192,G191:G192)</f>
        <v>1151.8393181397068</v>
      </c>
      <c r="C193" s="111" t="s">
        <v>46</v>
      </c>
      <c r="D193" s="111">
        <v>425</v>
      </c>
      <c r="E193" s="112">
        <v>209.03</v>
      </c>
      <c r="F193" s="113">
        <f t="shared" si="74"/>
        <v>0.18427130716880005</v>
      </c>
      <c r="G193" s="114">
        <f>SUM(E194:E$202)/$E$203</f>
        <v>0.38939137487217468</v>
      </c>
    </row>
    <row r="194" spans="2:18" x14ac:dyDescent="0.2">
      <c r="B194" s="118"/>
      <c r="C194" s="111" t="s">
        <v>47</v>
      </c>
      <c r="D194" s="111">
        <v>300</v>
      </c>
      <c r="E194" s="112">
        <v>253.21</v>
      </c>
      <c r="F194" s="113">
        <f t="shared" si="74"/>
        <v>0.22321837864522728</v>
      </c>
      <c r="G194" s="114">
        <f>SUM(E195:E$202)/$E$203</f>
        <v>0.16617299622694737</v>
      </c>
      <c r="H194" s="116"/>
      <c r="J194" s="145">
        <f t="shared" ref="J194:J201" si="75">+J179</f>
        <v>8.2663207955036757E-3</v>
      </c>
      <c r="K194" s="143">
        <f>1-J194</f>
        <v>0.99173367920449629</v>
      </c>
      <c r="L194" s="143">
        <f>SUM($F$191:F194)</f>
        <v>0.83382700377305274</v>
      </c>
      <c r="M194" s="143">
        <v>1</v>
      </c>
      <c r="N194" s="144">
        <f>+(L194-J194)/(L194+M194-1)</f>
        <v>0.99008628797328602</v>
      </c>
      <c r="O194" s="145">
        <f>1-N194</f>
        <v>9.9137120267139833E-3</v>
      </c>
      <c r="P194" s="144">
        <f>+N194*M194/K194</f>
        <v>0.99833887739646832</v>
      </c>
      <c r="Q194" s="144">
        <f>+O194*L194/J194</f>
        <v>1.0000000000000149</v>
      </c>
      <c r="R194" s="146">
        <f>+N194*M194+O194*L194</f>
        <v>0.99835260876878984</v>
      </c>
    </row>
    <row r="195" spans="2:18" x14ac:dyDescent="0.2">
      <c r="B195" s="118"/>
      <c r="C195" s="119" t="s">
        <v>48</v>
      </c>
      <c r="D195" s="120">
        <v>212</v>
      </c>
      <c r="E195" s="121">
        <v>104</v>
      </c>
      <c r="F195" s="122">
        <f t="shared" si="74"/>
        <v>9.1681653090729578E-2</v>
      </c>
      <c r="G195" s="123">
        <f>SUM(E196:E$202)/$E$203</f>
        <v>7.4491343136217789E-2</v>
      </c>
      <c r="H195" s="124">
        <f>SUM(F196:F202)*100</f>
        <v>7.4491343136217791</v>
      </c>
      <c r="I195" s="116">
        <f>($H$195-H195)/($I$208*(100-H195))*10000</f>
        <v>0</v>
      </c>
      <c r="J195" s="145">
        <f t="shared" si="75"/>
        <v>8.7401642888024197E-2</v>
      </c>
      <c r="K195" s="143">
        <f t="shared" ref="K195:K201" si="76">1-J195</f>
        <v>0.91259835711197579</v>
      </c>
      <c r="L195" s="143">
        <f>SUM($F$191:F195)</f>
        <v>0.92550865686378236</v>
      </c>
      <c r="M195" s="143">
        <v>1</v>
      </c>
      <c r="N195" s="144">
        <f t="shared" ref="N195:N201" si="77">+(L195-J195)/(L195+M195-1)</f>
        <v>0.90556366789242471</v>
      </c>
      <c r="O195" s="145">
        <f t="shared" ref="O195:O201" si="78">1-N195</f>
        <v>9.4436332107575294E-2</v>
      </c>
      <c r="P195" s="144">
        <f t="shared" ref="P195:P201" si="79">+N195*M195/K195</f>
        <v>0.99229158241987947</v>
      </c>
      <c r="Q195" s="144">
        <f t="shared" ref="Q195:Q201" si="80">+O195*L195/J195</f>
        <v>0.99999999999999889</v>
      </c>
      <c r="R195" s="146">
        <f t="shared" ref="R195:R201" si="81">+N195*M195+O195*L195</f>
        <v>0.99296531078044881</v>
      </c>
    </row>
    <row r="196" spans="2:18" x14ac:dyDescent="0.2">
      <c r="B196" s="118"/>
      <c r="C196" s="119" t="s">
        <v>49</v>
      </c>
      <c r="D196" s="125">
        <v>180</v>
      </c>
      <c r="E196" s="126">
        <v>14.76</v>
      </c>
      <c r="F196" s="113">
        <f t="shared" si="74"/>
        <v>1.3011742304030467E-2</v>
      </c>
      <c r="G196" s="114">
        <f>SUM(E197:E$202)/$E$203</f>
        <v>6.1479600832187328E-2</v>
      </c>
      <c r="J196" s="145">
        <f t="shared" si="75"/>
        <v>0.13537397319498484</v>
      </c>
      <c r="K196" s="143">
        <f t="shared" si="76"/>
        <v>0.86462602680501521</v>
      </c>
      <c r="L196" s="143">
        <f>SUM($F$191:F196)</f>
        <v>0.93852039916781282</v>
      </c>
      <c r="M196" s="143">
        <v>1</v>
      </c>
      <c r="N196" s="144">
        <f t="shared" si="77"/>
        <v>0.85575809186990393</v>
      </c>
      <c r="O196" s="145">
        <f t="shared" si="78"/>
        <v>0.14424190813009607</v>
      </c>
      <c r="P196" s="144">
        <f t="shared" si="79"/>
        <v>0.98974361786461562</v>
      </c>
      <c r="Q196" s="144">
        <f t="shared" si="80"/>
        <v>0.99999999999999933</v>
      </c>
      <c r="R196" s="146">
        <f t="shared" si="81"/>
        <v>0.99113206506488871</v>
      </c>
    </row>
    <row r="197" spans="2:18" x14ac:dyDescent="0.2">
      <c r="B197" s="118"/>
      <c r="C197" s="119" t="s">
        <v>50</v>
      </c>
      <c r="D197" s="125">
        <v>150</v>
      </c>
      <c r="E197" s="126">
        <v>16</v>
      </c>
      <c r="F197" s="113">
        <f t="shared" si="74"/>
        <v>1.410486970626609E-2</v>
      </c>
      <c r="G197" s="114">
        <f>SUM(E198:E$202)/$E$203</f>
        <v>4.7374731125921221E-2</v>
      </c>
      <c r="J197" s="145">
        <f t="shared" si="75"/>
        <v>0.21016861219195848</v>
      </c>
      <c r="K197" s="143">
        <f t="shared" si="76"/>
        <v>0.78983138780804152</v>
      </c>
      <c r="L197" s="143">
        <f>SUM($F$191:F197)</f>
        <v>0.95262526887407895</v>
      </c>
      <c r="M197" s="143">
        <v>1</v>
      </c>
      <c r="N197" s="144">
        <f t="shared" si="77"/>
        <v>0.77937955347294152</v>
      </c>
      <c r="O197" s="145">
        <f t="shared" si="78"/>
        <v>0.22062044652705848</v>
      </c>
      <c r="P197" s="144">
        <f t="shared" si="79"/>
        <v>0.98676700559583208</v>
      </c>
      <c r="Q197" s="144">
        <f t="shared" si="80"/>
        <v>0.99999999999999978</v>
      </c>
      <c r="R197" s="146">
        <f t="shared" si="81"/>
        <v>0.98954816566489989</v>
      </c>
    </row>
    <row r="198" spans="2:18" x14ac:dyDescent="0.2">
      <c r="B198" s="118"/>
      <c r="C198" s="119" t="s">
        <v>51</v>
      </c>
      <c r="D198" s="125">
        <v>106</v>
      </c>
      <c r="E198" s="126">
        <v>14.55</v>
      </c>
      <c r="F198" s="113">
        <f t="shared" si="74"/>
        <v>1.2826615889135726E-2</v>
      </c>
      <c r="G198" s="114">
        <f>SUM(E199:E$202)/$E$203</f>
        <v>3.4548115236785498E-2</v>
      </c>
      <c r="J198" s="145">
        <f t="shared" si="75"/>
        <v>0.35192390834414178</v>
      </c>
      <c r="K198" s="143">
        <f t="shared" si="76"/>
        <v>0.64807609165585822</v>
      </c>
      <c r="L198" s="143">
        <f>SUM($F$191:F198)</f>
        <v>0.96545188476321464</v>
      </c>
      <c r="M198" s="143">
        <v>1</v>
      </c>
      <c r="N198" s="144">
        <f t="shared" si="77"/>
        <v>0.63548270618327696</v>
      </c>
      <c r="O198" s="145">
        <f t="shared" si="78"/>
        <v>0.36451729381672304</v>
      </c>
      <c r="P198" s="144">
        <f t="shared" si="79"/>
        <v>0.98056804496458938</v>
      </c>
      <c r="Q198" s="144">
        <f t="shared" si="80"/>
        <v>0.99999999999999989</v>
      </c>
      <c r="R198" s="146">
        <f t="shared" si="81"/>
        <v>0.98740661452741874</v>
      </c>
    </row>
    <row r="199" spans="2:18" x14ac:dyDescent="0.2">
      <c r="B199" s="118"/>
      <c r="C199" s="119" t="s">
        <v>52</v>
      </c>
      <c r="D199" s="125">
        <v>75</v>
      </c>
      <c r="E199" s="126">
        <v>6.67</v>
      </c>
      <c r="F199" s="113">
        <f t="shared" si="74"/>
        <v>5.8799675587996756E-3</v>
      </c>
      <c r="G199" s="114">
        <f>SUM(E200:E$202)/$E$203</f>
        <v>2.8668147677985829E-2</v>
      </c>
      <c r="J199" s="145">
        <f t="shared" si="75"/>
        <v>0.46749675745784691</v>
      </c>
      <c r="K199" s="143">
        <f t="shared" si="76"/>
        <v>0.53250324254215309</v>
      </c>
      <c r="L199" s="143">
        <f>SUM($F$191:F199)</f>
        <v>0.97133185232201436</v>
      </c>
      <c r="M199" s="143">
        <v>1</v>
      </c>
      <c r="N199" s="144">
        <f t="shared" si="77"/>
        <v>0.51870541840023665</v>
      </c>
      <c r="O199" s="145">
        <f t="shared" si="78"/>
        <v>0.48129458159976335</v>
      </c>
      <c r="P199" s="144">
        <f t="shared" si="79"/>
        <v>0.97408875094159786</v>
      </c>
      <c r="Q199" s="144">
        <f t="shared" si="80"/>
        <v>1.0000000000000002</v>
      </c>
      <c r="R199" s="146">
        <f t="shared" si="81"/>
        <v>0.98620217585808367</v>
      </c>
    </row>
    <row r="200" spans="2:18" x14ac:dyDescent="0.2">
      <c r="B200" s="118"/>
      <c r="C200" s="119" t="s">
        <v>53</v>
      </c>
      <c r="D200" s="125">
        <v>53</v>
      </c>
      <c r="E200" s="126">
        <v>4.58</v>
      </c>
      <c r="F200" s="113">
        <f t="shared" si="74"/>
        <v>4.0375189534186682E-3</v>
      </c>
      <c r="G200" s="114">
        <f>SUM(E201:E$202)/$E$203</f>
        <v>2.4630628724567161E-2</v>
      </c>
      <c r="J200" s="145">
        <f t="shared" si="75"/>
        <v>0.5675918720276697</v>
      </c>
      <c r="K200" s="143">
        <f t="shared" si="76"/>
        <v>0.4324081279723303</v>
      </c>
      <c r="L200" s="143">
        <f>SUM($F$191:F200)</f>
        <v>0.97536937127543299</v>
      </c>
      <c r="M200" s="143">
        <v>1</v>
      </c>
      <c r="N200" s="144">
        <f t="shared" si="77"/>
        <v>0.41807494807278672</v>
      </c>
      <c r="O200" s="145">
        <f t="shared" si="78"/>
        <v>0.58192505192721322</v>
      </c>
      <c r="P200" s="144">
        <f t="shared" si="79"/>
        <v>0.96685265846700097</v>
      </c>
      <c r="Q200" s="144">
        <f t="shared" si="80"/>
        <v>1</v>
      </c>
      <c r="R200" s="146">
        <f t="shared" si="81"/>
        <v>0.98566682010045636</v>
      </c>
    </row>
    <row r="201" spans="2:18" x14ac:dyDescent="0.2">
      <c r="B201" s="118"/>
      <c r="C201" s="119" t="s">
        <v>54</v>
      </c>
      <c r="D201" s="125">
        <v>38</v>
      </c>
      <c r="E201" s="126">
        <v>3.09</v>
      </c>
      <c r="F201" s="113">
        <f t="shared" si="74"/>
        <v>2.7240029620226383E-3</v>
      </c>
      <c r="G201" s="114">
        <f>SUM(E202:E$202)/$E$203</f>
        <v>2.1906625762544523E-2</v>
      </c>
      <c r="J201" s="145">
        <f t="shared" si="75"/>
        <v>0.63714656290531779</v>
      </c>
      <c r="K201" s="143">
        <f t="shared" si="76"/>
        <v>0.36285343709468221</v>
      </c>
      <c r="L201" s="143">
        <f>SUM($F$191:F201)</f>
        <v>0.97809337423745568</v>
      </c>
      <c r="M201" s="143">
        <v>1</v>
      </c>
      <c r="N201" s="144">
        <f t="shared" si="77"/>
        <v>0.34858309064607251</v>
      </c>
      <c r="O201" s="145">
        <f t="shared" si="78"/>
        <v>0.65141690935392749</v>
      </c>
      <c r="P201" s="144">
        <f t="shared" si="79"/>
        <v>0.96067187191922332</v>
      </c>
      <c r="Q201" s="144">
        <f t="shared" si="80"/>
        <v>1</v>
      </c>
      <c r="R201" s="146">
        <f t="shared" si="81"/>
        <v>0.98572965355139031</v>
      </c>
    </row>
    <row r="202" spans="2:18" x14ac:dyDescent="0.2">
      <c r="B202" s="127"/>
      <c r="C202" s="128">
        <v>-38</v>
      </c>
      <c r="D202" s="129"/>
      <c r="E202" s="130">
        <f>24.21+0.64</f>
        <v>24.85</v>
      </c>
      <c r="F202" s="113">
        <f t="shared" si="74"/>
        <v>2.1906625762544523E-2</v>
      </c>
      <c r="G202" s="131"/>
    </row>
    <row r="203" spans="2:18" x14ac:dyDescent="0.2">
      <c r="B203" s="132"/>
      <c r="C203" s="133" t="s">
        <v>55</v>
      </c>
      <c r="D203" s="134"/>
      <c r="E203" s="135">
        <f>SUM(E191:E202)</f>
        <v>1134.3599999999999</v>
      </c>
      <c r="F203" s="136">
        <f t="shared" si="74"/>
        <v>1</v>
      </c>
      <c r="G203" s="135"/>
    </row>
    <row r="208" spans="2:18" x14ac:dyDescent="0.2">
      <c r="I208" s="84">
        <f>I209*100</f>
        <v>48.209519990978691</v>
      </c>
    </row>
    <row r="209" spans="8:9" x14ac:dyDescent="0.2">
      <c r="I209" s="143">
        <f>SUM(F30:F36)</f>
        <v>0.48209519990978689</v>
      </c>
    </row>
    <row r="222" spans="8:9" x14ac:dyDescent="0.2">
      <c r="H222" s="116"/>
    </row>
    <row r="223" spans="8:9" x14ac:dyDescent="0.2">
      <c r="H223" s="166"/>
    </row>
    <row r="239" spans="3:6" x14ac:dyDescent="0.2">
      <c r="C239" s="84">
        <f>69.52-100</f>
        <v>-30.480000000000004</v>
      </c>
      <c r="D239" s="84">
        <f>C239/C240</f>
        <v>0.38080959520239888</v>
      </c>
      <c r="E239" s="84">
        <f>19.96/69.52</f>
        <v>0.28711162255466055</v>
      </c>
      <c r="F239" s="167">
        <f>69.52/19.96</f>
        <v>3.4829659318637272</v>
      </c>
    </row>
    <row r="240" spans="3:6" x14ac:dyDescent="0.2">
      <c r="C240" s="84">
        <f>19.96-100</f>
        <v>-80.039999999999992</v>
      </c>
      <c r="D240" s="84">
        <f>D239*E239</f>
        <v>0.10933486076294421</v>
      </c>
    </row>
    <row r="242" spans="4:5" x14ac:dyDescent="0.2">
      <c r="E242" s="84">
        <f>D239*F239</f>
        <v>1.3263468466167718</v>
      </c>
    </row>
    <row r="243" spans="4:5" x14ac:dyDescent="0.2">
      <c r="D243" s="84">
        <f>D240*100</f>
        <v>10.933486076294422</v>
      </c>
    </row>
  </sheetData>
  <mergeCells count="17">
    <mergeCell ref="C115:D115"/>
    <mergeCell ref="B1:G3"/>
    <mergeCell ref="A5:B5"/>
    <mergeCell ref="A6:B6"/>
    <mergeCell ref="A7:B7"/>
    <mergeCell ref="A8:B8"/>
    <mergeCell ref="C24:D24"/>
    <mergeCell ref="C39:D39"/>
    <mergeCell ref="C54:D54"/>
    <mergeCell ref="C69:D69"/>
    <mergeCell ref="C84:D84"/>
    <mergeCell ref="C99:D99"/>
    <mergeCell ref="C130:D130"/>
    <mergeCell ref="C145:D145"/>
    <mergeCell ref="C160:D160"/>
    <mergeCell ref="C175:D175"/>
    <mergeCell ref="C190:D190"/>
  </mergeCells>
  <pageMargins left="0.70866141732283472" right="0.70866141732283472" top="1.299212598425197" bottom="0.74803149606299213" header="0.31496062992125984" footer="0.31496062992125984"/>
  <pageSetup scale="91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84267-0AA2-41BE-9EB2-4DB4F52ABCDB}">
  <sheetPr>
    <pageSetUpPr fitToPage="1"/>
  </sheetPr>
  <dimension ref="A1:R242"/>
  <sheetViews>
    <sheetView showGridLines="0" tabSelected="1" topLeftCell="A7" zoomScaleNormal="100" workbookViewId="0">
      <selection activeCell="A23" sqref="A23"/>
    </sheetView>
  </sheetViews>
  <sheetFormatPr defaultColWidth="8.85546875" defaultRowHeight="11.25" x14ac:dyDescent="0.2"/>
  <cols>
    <col min="1" max="1" width="14.140625" style="84" bestFit="1" customWidth="1"/>
    <col min="2" max="2" width="16" style="84" bestFit="1" customWidth="1"/>
    <col min="3" max="5" width="12.5703125" style="84" bestFit="1" customWidth="1"/>
    <col min="6" max="6" width="12.5703125" style="144" bestFit="1" customWidth="1"/>
    <col min="7" max="7" width="12.5703125" style="84" bestFit="1" customWidth="1"/>
    <col min="8" max="8" width="15.140625" style="84" bestFit="1" customWidth="1"/>
    <col min="9" max="15" width="14" style="84" customWidth="1"/>
    <col min="16" max="18" width="6.7109375" style="84" bestFit="1" customWidth="1"/>
    <col min="19" max="16384" width="8.85546875" style="84"/>
  </cols>
  <sheetData>
    <row r="1" spans="1:8" x14ac:dyDescent="0.2">
      <c r="A1" s="83"/>
      <c r="B1" s="180" t="s">
        <v>128</v>
      </c>
      <c r="C1" s="180"/>
      <c r="D1" s="180"/>
      <c r="E1" s="180"/>
      <c r="F1" s="180"/>
      <c r="G1" s="180"/>
    </row>
    <row r="2" spans="1:8" x14ac:dyDescent="0.2">
      <c r="A2" s="83"/>
      <c r="B2" s="180"/>
      <c r="C2" s="180"/>
      <c r="D2" s="180"/>
      <c r="E2" s="180"/>
      <c r="F2" s="180"/>
      <c r="G2" s="180"/>
    </row>
    <row r="3" spans="1:8" x14ac:dyDescent="0.2">
      <c r="A3" s="83"/>
      <c r="B3" s="180"/>
      <c r="C3" s="180"/>
      <c r="D3" s="180"/>
      <c r="E3" s="180"/>
      <c r="F3" s="180"/>
      <c r="G3" s="180"/>
    </row>
    <row r="4" spans="1:8" x14ac:dyDescent="0.2">
      <c r="A4" s="83"/>
      <c r="B4" s="85"/>
      <c r="C4" s="86"/>
      <c r="D4" s="85"/>
      <c r="E4" s="85"/>
      <c r="F4" s="85"/>
      <c r="G4" s="85"/>
    </row>
    <row r="5" spans="1:8" x14ac:dyDescent="0.2">
      <c r="A5" s="181" t="s">
        <v>65</v>
      </c>
      <c r="B5" s="182"/>
      <c r="C5" s="87"/>
      <c r="D5" s="85"/>
      <c r="E5" s="85"/>
      <c r="F5" s="85"/>
      <c r="G5" s="85"/>
    </row>
    <row r="6" spans="1:8" x14ac:dyDescent="0.2">
      <c r="A6" s="183" t="s">
        <v>66</v>
      </c>
      <c r="B6" s="184"/>
      <c r="C6" s="87"/>
      <c r="D6" s="85"/>
      <c r="E6" s="85"/>
      <c r="F6" s="85"/>
      <c r="G6" s="85"/>
    </row>
    <row r="7" spans="1:8" x14ac:dyDescent="0.2">
      <c r="A7" s="185" t="s">
        <v>67</v>
      </c>
      <c r="B7" s="186"/>
      <c r="C7" s="87"/>
      <c r="D7" s="85"/>
      <c r="E7" s="85"/>
      <c r="F7" s="85"/>
      <c r="G7" s="85"/>
    </row>
    <row r="8" spans="1:8" x14ac:dyDescent="0.2">
      <c r="A8" s="187" t="s">
        <v>129</v>
      </c>
      <c r="B8" s="187"/>
      <c r="C8" s="87" t="s">
        <v>130</v>
      </c>
      <c r="D8" s="85"/>
      <c r="E8" s="85"/>
      <c r="F8" s="85"/>
      <c r="G8" s="85"/>
    </row>
    <row r="9" spans="1:8" ht="12" thickBot="1" x14ac:dyDescent="0.25">
      <c r="A9" s="83"/>
      <c r="B9" s="88"/>
      <c r="C9" s="88"/>
      <c r="D9" s="88"/>
      <c r="E9" s="88"/>
      <c r="F9" s="89"/>
      <c r="G9" s="89"/>
    </row>
    <row r="10" spans="1:8" ht="31.9" customHeight="1" thickTop="1" x14ac:dyDescent="0.2">
      <c r="A10" s="90" t="s">
        <v>4</v>
      </c>
      <c r="B10" s="91" t="s">
        <v>131</v>
      </c>
      <c r="C10" s="91" t="s">
        <v>132</v>
      </c>
      <c r="D10" s="91" t="s">
        <v>133</v>
      </c>
      <c r="E10" s="91" t="s">
        <v>134</v>
      </c>
      <c r="F10" s="91" t="s">
        <v>135</v>
      </c>
      <c r="G10" s="91" t="s">
        <v>136</v>
      </c>
    </row>
    <row r="11" spans="1:8" x14ac:dyDescent="0.2">
      <c r="A11" s="92" t="s">
        <v>75</v>
      </c>
      <c r="B11" s="93" t="s">
        <v>137</v>
      </c>
      <c r="C11" s="93" t="s">
        <v>138</v>
      </c>
      <c r="D11" s="93" t="s">
        <v>138</v>
      </c>
      <c r="E11" s="93" t="s">
        <v>138</v>
      </c>
      <c r="F11" s="93" t="s">
        <v>138</v>
      </c>
      <c r="G11" s="93" t="s">
        <v>138</v>
      </c>
    </row>
    <row r="12" spans="1:8" x14ac:dyDescent="0.2">
      <c r="A12" s="94" t="s">
        <v>11</v>
      </c>
      <c r="B12" s="95">
        <v>770</v>
      </c>
      <c r="C12" s="95">
        <v>774</v>
      </c>
      <c r="D12" s="95">
        <v>774</v>
      </c>
      <c r="E12" s="95">
        <v>770</v>
      </c>
      <c r="F12" s="95">
        <v>770</v>
      </c>
      <c r="G12" s="95">
        <v>740</v>
      </c>
    </row>
    <row r="13" spans="1:8" x14ac:dyDescent="0.2">
      <c r="A13" s="94" t="s">
        <v>12</v>
      </c>
      <c r="B13" s="95">
        <v>5528</v>
      </c>
      <c r="C13" s="95">
        <v>3402</v>
      </c>
      <c r="D13" s="95">
        <v>2828</v>
      </c>
      <c r="E13" s="95">
        <v>3498</v>
      </c>
      <c r="F13" s="95">
        <v>5170</v>
      </c>
      <c r="G13" s="95">
        <v>6184</v>
      </c>
    </row>
    <row r="14" spans="1:8" x14ac:dyDescent="0.2">
      <c r="A14" s="94" t="s">
        <v>13</v>
      </c>
      <c r="B14" s="96">
        <f>E37</f>
        <v>1769.6499999999999</v>
      </c>
      <c r="C14" s="96">
        <f>+E52</f>
        <v>1010.4200000000001</v>
      </c>
      <c r="D14" s="96">
        <f>+E67</f>
        <v>807.85000000000014</v>
      </c>
      <c r="E14" s="96">
        <f>+E82</f>
        <v>1006.46</v>
      </c>
      <c r="F14" s="96">
        <f>+E97</f>
        <v>1661.01</v>
      </c>
      <c r="G14" s="96">
        <f>+E112</f>
        <v>1870.42</v>
      </c>
    </row>
    <row r="15" spans="1:8" x14ac:dyDescent="0.2">
      <c r="A15" s="97" t="s">
        <v>14</v>
      </c>
      <c r="B15" s="98">
        <f t="shared" ref="B15:G15" si="0">B14/(B13-B12)</f>
        <v>0.37193148381672969</v>
      </c>
      <c r="C15" s="98">
        <f t="shared" si="0"/>
        <v>0.384482496194825</v>
      </c>
      <c r="D15" s="98">
        <f t="shared" si="0"/>
        <v>0.39330574488802345</v>
      </c>
      <c r="E15" s="98">
        <f t="shared" si="0"/>
        <v>0.36893695014662758</v>
      </c>
      <c r="F15" s="98">
        <f t="shared" si="0"/>
        <v>0.37750227272727271</v>
      </c>
      <c r="G15" s="98">
        <f t="shared" si="0"/>
        <v>0.34357457751653198</v>
      </c>
    </row>
    <row r="16" spans="1:8" ht="12" thickBot="1" x14ac:dyDescent="0.25">
      <c r="A16" s="99"/>
      <c r="B16" s="100"/>
      <c r="C16" s="100"/>
      <c r="D16" s="100"/>
      <c r="E16" s="100"/>
      <c r="F16" s="100"/>
      <c r="G16" s="100"/>
      <c r="H16" s="100"/>
    </row>
    <row r="17" spans="1:18" ht="23.25" thickTop="1" x14ac:dyDescent="0.2">
      <c r="A17" s="90" t="s">
        <v>4</v>
      </c>
      <c r="B17" s="91" t="s">
        <v>139</v>
      </c>
      <c r="C17" s="91" t="s">
        <v>140</v>
      </c>
      <c r="D17" s="91" t="s">
        <v>141</v>
      </c>
      <c r="E17" s="91" t="s">
        <v>142</v>
      </c>
      <c r="F17" s="91" t="s">
        <v>143</v>
      </c>
      <c r="G17" s="91" t="s">
        <v>144</v>
      </c>
      <c r="H17" s="100"/>
    </row>
    <row r="18" spans="1:18" x14ac:dyDescent="0.2">
      <c r="A18" s="94" t="s">
        <v>11</v>
      </c>
      <c r="B18" s="95">
        <v>770</v>
      </c>
      <c r="C18" s="95">
        <v>770</v>
      </c>
      <c r="D18" s="95">
        <v>770</v>
      </c>
      <c r="E18" s="95">
        <v>776</v>
      </c>
      <c r="F18" s="95">
        <v>738</v>
      </c>
      <c r="G18" s="95">
        <v>740</v>
      </c>
      <c r="H18" s="100"/>
    </row>
    <row r="19" spans="1:18" x14ac:dyDescent="0.2">
      <c r="A19" s="94" t="s">
        <v>12</v>
      </c>
      <c r="B19" s="101">
        <v>5322</v>
      </c>
      <c r="C19" s="95">
        <v>4298</v>
      </c>
      <c r="D19" s="95">
        <v>5842</v>
      </c>
      <c r="E19" s="95">
        <v>3488</v>
      </c>
      <c r="F19" s="95">
        <v>4132</v>
      </c>
      <c r="G19" s="95">
        <v>4814</v>
      </c>
      <c r="H19" s="100"/>
    </row>
    <row r="20" spans="1:18" x14ac:dyDescent="0.2">
      <c r="A20" s="94" t="s">
        <v>13</v>
      </c>
      <c r="B20" s="102">
        <f>+E127</f>
        <v>1182.1599999999999</v>
      </c>
      <c r="C20" s="102">
        <f>+E142</f>
        <v>2017.04</v>
      </c>
      <c r="D20" s="102">
        <f>+E157</f>
        <v>3132.2000000000003</v>
      </c>
      <c r="E20" s="102">
        <f>+E172</f>
        <v>1876.1499999999996</v>
      </c>
      <c r="F20" s="102">
        <f>+E187</f>
        <v>2354.2999999999997</v>
      </c>
      <c r="G20" s="102">
        <f>+E202</f>
        <v>2630.0300000000011</v>
      </c>
      <c r="H20" s="100"/>
    </row>
    <row r="21" spans="1:18" x14ac:dyDescent="0.2">
      <c r="A21" s="97" t="s">
        <v>14</v>
      </c>
      <c r="B21" s="98">
        <f t="shared" ref="B21:G21" si="1">B20/(B19-B18)</f>
        <v>0.25970123022847097</v>
      </c>
      <c r="C21" s="98">
        <f t="shared" si="1"/>
        <v>0.57172335600907032</v>
      </c>
      <c r="D21" s="98">
        <f t="shared" si="1"/>
        <v>0.61754731861198742</v>
      </c>
      <c r="E21" s="98">
        <f t="shared" si="1"/>
        <v>0.69179572271386414</v>
      </c>
      <c r="F21" s="98">
        <f t="shared" si="1"/>
        <v>0.69366529169121971</v>
      </c>
      <c r="G21" s="98">
        <f t="shared" si="1"/>
        <v>0.64556455571919513</v>
      </c>
      <c r="H21" s="100"/>
    </row>
    <row r="22" spans="1:18" x14ac:dyDescent="0.2">
      <c r="A22" s="99"/>
      <c r="B22" s="100"/>
      <c r="C22" s="100"/>
      <c r="D22" s="100"/>
      <c r="E22" s="100"/>
      <c r="F22" s="100"/>
      <c r="G22" s="100"/>
      <c r="H22" s="100"/>
      <c r="I22" s="100"/>
      <c r="J22" s="84" t="s">
        <v>59</v>
      </c>
      <c r="K22" s="100"/>
      <c r="L22" s="100"/>
      <c r="M22" s="100"/>
    </row>
    <row r="23" spans="1:18" ht="33.75" x14ac:dyDescent="0.2">
      <c r="J23" s="103" t="s">
        <v>84</v>
      </c>
      <c r="K23" s="104" t="s">
        <v>85</v>
      </c>
      <c r="L23" s="104" t="s">
        <v>86</v>
      </c>
      <c r="M23" s="104" t="s">
        <v>87</v>
      </c>
      <c r="N23" s="104" t="s">
        <v>88</v>
      </c>
      <c r="O23" s="104" t="s">
        <v>89</v>
      </c>
      <c r="P23" s="104" t="s">
        <v>90</v>
      </c>
      <c r="Q23" s="104" t="s">
        <v>91</v>
      </c>
      <c r="R23" s="105" t="s">
        <v>92</v>
      </c>
    </row>
    <row r="24" spans="1:18" ht="12" thickBot="1" x14ac:dyDescent="0.25">
      <c r="B24" s="106" t="s">
        <v>23</v>
      </c>
      <c r="C24" s="177" t="s">
        <v>24</v>
      </c>
      <c r="D24" s="178"/>
      <c r="E24" s="107" t="s">
        <v>25</v>
      </c>
      <c r="F24" s="108" t="s">
        <v>26</v>
      </c>
      <c r="G24" s="107" t="s">
        <v>27</v>
      </c>
      <c r="H24" s="84" t="s">
        <v>28</v>
      </c>
    </row>
    <row r="25" spans="1:18" ht="12" thickTop="1" x14ac:dyDescent="0.2">
      <c r="B25" s="109" t="str">
        <f>B10&amp;" "&amp;B11</f>
        <v>SC-014 Feed DI-028</v>
      </c>
      <c r="C25" s="110" t="s">
        <v>43</v>
      </c>
      <c r="D25" s="111">
        <v>1180</v>
      </c>
      <c r="E25" s="112">
        <f>48.64+31.83</f>
        <v>80.47</v>
      </c>
      <c r="F25" s="113">
        <f>E25/$E$37</f>
        <v>4.5472268527674969E-2</v>
      </c>
      <c r="G25" s="114">
        <f>SUM(E26:E$36)/$E$37</f>
        <v>0.95452773147232506</v>
      </c>
      <c r="J25" s="84" t="s">
        <v>29</v>
      </c>
      <c r="K25" s="84" t="s">
        <v>30</v>
      </c>
      <c r="L25" s="84" t="s">
        <v>31</v>
      </c>
      <c r="M25" s="84" t="s">
        <v>32</v>
      </c>
      <c r="N25" s="84" t="s">
        <v>33</v>
      </c>
      <c r="O25" s="84" t="s">
        <v>34</v>
      </c>
      <c r="P25" s="84" t="s">
        <v>35</v>
      </c>
      <c r="Q25" s="84" t="s">
        <v>36</v>
      </c>
      <c r="R25" s="84" t="s">
        <v>37</v>
      </c>
    </row>
    <row r="26" spans="1:18" x14ac:dyDescent="0.2">
      <c r="B26" s="115" t="s">
        <v>44</v>
      </c>
      <c r="C26" s="111" t="s">
        <v>45</v>
      </c>
      <c r="D26" s="111">
        <v>600</v>
      </c>
      <c r="E26" s="112">
        <f>106.63+78.09</f>
        <v>184.72</v>
      </c>
      <c r="F26" s="113">
        <f t="shared" ref="F26:F36" si="2">E26/$E$37</f>
        <v>0.10438222247337045</v>
      </c>
      <c r="G26" s="114">
        <f>SUM(E27:E$36)/$E$37</f>
        <v>0.85014550899895458</v>
      </c>
      <c r="J26" s="116"/>
    </row>
    <row r="27" spans="1:18" x14ac:dyDescent="0.2">
      <c r="B27" s="117">
        <f>FORECAST(0.8,D26:D27,G26:G27)</f>
        <v>507.74919805156242</v>
      </c>
      <c r="C27" s="111" t="s">
        <v>46</v>
      </c>
      <c r="D27" s="111">
        <v>425</v>
      </c>
      <c r="E27" s="112">
        <f>96.6+71.74</f>
        <v>168.33999999999997</v>
      </c>
      <c r="F27" s="113">
        <f t="shared" si="2"/>
        <v>9.5126154889384903E-2</v>
      </c>
      <c r="G27" s="114">
        <f>SUM(E28:E$36)/$E$37</f>
        <v>0.75501935410956966</v>
      </c>
    </row>
    <row r="28" spans="1:18" x14ac:dyDescent="0.2">
      <c r="B28" s="118"/>
      <c r="C28" s="111" t="s">
        <v>47</v>
      </c>
      <c r="D28" s="111">
        <v>300</v>
      </c>
      <c r="E28" s="112">
        <f>127.15+107.89</f>
        <v>235.04000000000002</v>
      </c>
      <c r="F28" s="113">
        <f t="shared" si="2"/>
        <v>0.13281722374480831</v>
      </c>
      <c r="G28" s="114">
        <f>SUM(E29:E$36)/$E$37</f>
        <v>0.62220213036476135</v>
      </c>
    </row>
    <row r="29" spans="1:18" x14ac:dyDescent="0.2">
      <c r="B29" s="118"/>
      <c r="C29" s="119" t="s">
        <v>48</v>
      </c>
      <c r="D29" s="120">
        <v>212</v>
      </c>
      <c r="E29" s="121">
        <f>118.18+106.84</f>
        <v>225.02</v>
      </c>
      <c r="F29" s="122">
        <f t="shared" si="2"/>
        <v>0.12715508716412852</v>
      </c>
      <c r="G29" s="123">
        <f>SUM(E30:E$36)/$E$37</f>
        <v>0.49504704320063292</v>
      </c>
      <c r="H29" s="124">
        <f>SUM(F30:F36)*100</f>
        <v>49.504704320063297</v>
      </c>
    </row>
    <row r="30" spans="1:18" x14ac:dyDescent="0.2">
      <c r="B30" s="118"/>
      <c r="C30" s="119" t="s">
        <v>49</v>
      </c>
      <c r="D30" s="125">
        <v>180</v>
      </c>
      <c r="E30" s="126">
        <f>34.29+37.26</f>
        <v>71.55</v>
      </c>
      <c r="F30" s="113">
        <f t="shared" si="2"/>
        <v>4.0431723787189559E-2</v>
      </c>
      <c r="G30" s="114">
        <f>SUM(E31:E$36)/$E$37</f>
        <v>0.45461531941344335</v>
      </c>
    </row>
    <row r="31" spans="1:18" x14ac:dyDescent="0.2">
      <c r="B31" s="118"/>
      <c r="C31" s="119" t="s">
        <v>50</v>
      </c>
      <c r="D31" s="125">
        <v>150</v>
      </c>
      <c r="E31" s="126">
        <f>49.15+50.38</f>
        <v>99.53</v>
      </c>
      <c r="F31" s="113">
        <f t="shared" si="2"/>
        <v>5.624275986777047E-2</v>
      </c>
      <c r="G31" s="114">
        <f>SUM(E32:E$36)/$E$37</f>
        <v>0.39837255954567291</v>
      </c>
    </row>
    <row r="32" spans="1:18" x14ac:dyDescent="0.2">
      <c r="B32" s="118"/>
      <c r="C32" s="119" t="s">
        <v>51</v>
      </c>
      <c r="D32" s="125">
        <v>106</v>
      </c>
      <c r="E32" s="126">
        <v>158.44</v>
      </c>
      <c r="F32" s="113">
        <f t="shared" si="2"/>
        <v>8.9531828327635413E-2</v>
      </c>
      <c r="G32" s="114">
        <f>SUM(E33:E$36)/$E$37</f>
        <v>0.30884073121803746</v>
      </c>
    </row>
    <row r="33" spans="2:18" x14ac:dyDescent="0.2">
      <c r="B33" s="118"/>
      <c r="C33" s="119" t="s">
        <v>52</v>
      </c>
      <c r="D33" s="125">
        <v>75</v>
      </c>
      <c r="E33" s="126">
        <v>109.23</v>
      </c>
      <c r="F33" s="113">
        <f t="shared" si="2"/>
        <v>6.1724069731302809E-2</v>
      </c>
      <c r="G33" s="114">
        <f>SUM(E34:E$36)/$E$37</f>
        <v>0.2471166614867347</v>
      </c>
    </row>
    <row r="34" spans="2:18" x14ac:dyDescent="0.2">
      <c r="B34" s="118"/>
      <c r="C34" s="119" t="s">
        <v>53</v>
      </c>
      <c r="D34" s="125">
        <v>53</v>
      </c>
      <c r="E34" s="126">
        <v>94</v>
      </c>
      <c r="F34" s="113">
        <f t="shared" si="2"/>
        <v>5.3117848162065946E-2</v>
      </c>
      <c r="G34" s="114">
        <f>SUM(E35:E$36)/$E$37</f>
        <v>0.19399881332466873</v>
      </c>
    </row>
    <row r="35" spans="2:18" x14ac:dyDescent="0.2">
      <c r="B35" s="118"/>
      <c r="C35" s="119" t="s">
        <v>54</v>
      </c>
      <c r="D35" s="125">
        <v>38</v>
      </c>
      <c r="E35" s="126">
        <v>49</v>
      </c>
      <c r="F35" s="113">
        <f t="shared" si="2"/>
        <v>2.768909106320459E-2</v>
      </c>
      <c r="G35" s="114">
        <f>SUM(E36:E$36)/$E$37</f>
        <v>0.16630972226146415</v>
      </c>
    </row>
    <row r="36" spans="2:18" x14ac:dyDescent="0.2">
      <c r="B36" s="127"/>
      <c r="C36" s="128">
        <v>-38</v>
      </c>
      <c r="D36" s="129"/>
      <c r="E36" s="130">
        <f>26.98+267.33</f>
        <v>294.31</v>
      </c>
      <c r="F36" s="113">
        <f t="shared" si="2"/>
        <v>0.16630972226146415</v>
      </c>
      <c r="G36" s="131"/>
    </row>
    <row r="37" spans="2:18" x14ac:dyDescent="0.2">
      <c r="B37" s="132"/>
      <c r="C37" s="133" t="s">
        <v>55</v>
      </c>
      <c r="D37" s="134"/>
      <c r="E37" s="135">
        <f>SUM(E25:E36)</f>
        <v>1769.6499999999999</v>
      </c>
      <c r="F37" s="136">
        <f>E37/$E$37</f>
        <v>1</v>
      </c>
      <c r="G37" s="135"/>
    </row>
    <row r="38" spans="2:18" x14ac:dyDescent="0.2">
      <c r="C38" s="137"/>
      <c r="D38" s="138"/>
      <c r="E38" s="139"/>
      <c r="F38" s="140"/>
      <c r="G38" s="139"/>
    </row>
    <row r="39" spans="2:18" ht="12" thickBot="1" x14ac:dyDescent="0.25">
      <c r="B39" s="106" t="s">
        <v>23</v>
      </c>
      <c r="C39" s="177" t="s">
        <v>24</v>
      </c>
      <c r="D39" s="178"/>
      <c r="E39" s="107" t="s">
        <v>25</v>
      </c>
      <c r="F39" s="108" t="s">
        <v>26</v>
      </c>
      <c r="G39" s="107" t="s">
        <v>27</v>
      </c>
      <c r="J39" s="141"/>
      <c r="K39" s="141"/>
      <c r="L39" s="141"/>
      <c r="M39" s="141"/>
      <c r="N39" s="141"/>
      <c r="O39" s="141"/>
    </row>
    <row r="40" spans="2:18" ht="23.25" thickTop="1" x14ac:dyDescent="0.2">
      <c r="B40" s="109" t="str">
        <f>C10&amp;" "&amp;"("&amp;C11&amp;")"</f>
        <v>SC-014 feed to deck1 (DI-050)</v>
      </c>
      <c r="C40" s="110" t="s">
        <v>43</v>
      </c>
      <c r="D40" s="111">
        <v>1180</v>
      </c>
      <c r="E40" s="112">
        <v>47.49</v>
      </c>
      <c r="F40" s="113">
        <f>E40/$E$52</f>
        <v>4.700025731873874E-2</v>
      </c>
      <c r="G40" s="142">
        <f>SUM(E41:E$51)/$E$52</f>
        <v>0.9529997426812612</v>
      </c>
      <c r="J40" s="116"/>
      <c r="K40" s="116"/>
      <c r="L40" s="116"/>
      <c r="M40" s="116"/>
      <c r="N40" s="116"/>
      <c r="O40" s="116"/>
    </row>
    <row r="41" spans="2:18" x14ac:dyDescent="0.2">
      <c r="B41" s="115" t="s">
        <v>44</v>
      </c>
      <c r="C41" s="111" t="s">
        <v>45</v>
      </c>
      <c r="D41" s="111">
        <v>600</v>
      </c>
      <c r="E41" s="112">
        <v>114.48</v>
      </c>
      <c r="F41" s="113">
        <f t="shared" ref="F41:F52" si="3">E41/$E$52</f>
        <v>0.11329942004315037</v>
      </c>
      <c r="G41" s="142">
        <f>SUM(E42:E$51)/$E$52</f>
        <v>0.8397003226381109</v>
      </c>
    </row>
    <row r="42" spans="2:18" x14ac:dyDescent="0.2">
      <c r="B42" s="117">
        <f>FORECAST(0.8,D41:D42,G41:G42)</f>
        <v>532.44851809083934</v>
      </c>
      <c r="C42" s="111" t="s">
        <v>46</v>
      </c>
      <c r="D42" s="111">
        <v>425</v>
      </c>
      <c r="E42" s="112">
        <v>103.92</v>
      </c>
      <c r="F42" s="113">
        <f t="shared" si="3"/>
        <v>0.10284832050038598</v>
      </c>
      <c r="G42" s="142">
        <f>SUM(E43:E$51)/$E$52</f>
        <v>0.73685200213772484</v>
      </c>
      <c r="J42" s="116"/>
    </row>
    <row r="43" spans="2:18" x14ac:dyDescent="0.2">
      <c r="B43" s="118"/>
      <c r="C43" s="111" t="s">
        <v>47</v>
      </c>
      <c r="D43" s="111">
        <v>300</v>
      </c>
      <c r="E43" s="112">
        <v>137.04</v>
      </c>
      <c r="F43" s="113">
        <f t="shared" si="3"/>
        <v>0.13562676906632884</v>
      </c>
      <c r="G43" s="142">
        <f>SUM(E44:E$51)/$E$52</f>
        <v>0.60122523307139597</v>
      </c>
      <c r="H43" s="116"/>
      <c r="J43" s="143">
        <f>SUM($F$25:F28)</f>
        <v>0.37779786963523865</v>
      </c>
      <c r="K43" s="143">
        <f>1-J43</f>
        <v>0.62220213036476135</v>
      </c>
      <c r="L43" s="143">
        <f>SUM($F$40:F43)</f>
        <v>0.39877476692860392</v>
      </c>
      <c r="M43" s="143">
        <v>1</v>
      </c>
      <c r="N43" s="144">
        <f>+(L43-J43)/(L43+M43-1)</f>
        <v>5.2603371710128653E-2</v>
      </c>
      <c r="O43" s="145">
        <f>1-N43</f>
        <v>0.94739662828987137</v>
      </c>
      <c r="P43" s="144">
        <f>+N43*M43/K43</f>
        <v>8.4543863067923469E-2</v>
      </c>
      <c r="Q43" s="144">
        <f>+O43*L43/J43</f>
        <v>1</v>
      </c>
      <c r="R43" s="146">
        <f>+N43*M43+O43*L43</f>
        <v>0.43040124134536728</v>
      </c>
    </row>
    <row r="44" spans="2:18" x14ac:dyDescent="0.2">
      <c r="B44" s="118"/>
      <c r="C44" s="119" t="s">
        <v>48</v>
      </c>
      <c r="D44" s="120">
        <v>212</v>
      </c>
      <c r="E44" s="147">
        <v>124.37</v>
      </c>
      <c r="F44" s="122">
        <f t="shared" si="3"/>
        <v>0.12308742898992497</v>
      </c>
      <c r="G44" s="148">
        <f>SUM(E45:E$51)/$E$52</f>
        <v>0.47813780408147105</v>
      </c>
      <c r="H44" s="124">
        <f>SUM(F45:F51)*100</f>
        <v>47.813780408147096</v>
      </c>
      <c r="I44" s="149">
        <f>($I$207-H44)/($I$207*(100-H44))*10000</f>
        <v>6.5451824525163502</v>
      </c>
      <c r="J44" s="143">
        <f>SUM($F$25:F29)</f>
        <v>0.50495295679936714</v>
      </c>
      <c r="K44" s="143">
        <f t="shared" ref="K44:K50" si="4">1-J44</f>
        <v>0.49504704320063286</v>
      </c>
      <c r="L44" s="143">
        <f>SUM($F$40:F44)</f>
        <v>0.52186219591852889</v>
      </c>
      <c r="M44" s="143">
        <v>1</v>
      </c>
      <c r="N44" s="144">
        <f t="shared" ref="N44:N50" si="5">+(L44-J44)/(L44+M44-1)</f>
        <v>3.2401732203268384E-2</v>
      </c>
      <c r="O44" s="145">
        <f t="shared" ref="O44:O50" si="6">1-N44</f>
        <v>0.96759826779673164</v>
      </c>
      <c r="P44" s="144">
        <f t="shared" ref="P44:P49" si="7">+N44*M44/K44</f>
        <v>6.5451824525162544E-2</v>
      </c>
      <c r="Q44" s="144">
        <f t="shared" ref="Q44:Q49" si="8">+O44*L44/J44</f>
        <v>1</v>
      </c>
      <c r="R44" s="146">
        <f>+N44*M44+O44*L44</f>
        <v>0.5373546890026355</v>
      </c>
    </row>
    <row r="45" spans="2:18" x14ac:dyDescent="0.2">
      <c r="B45" s="118"/>
      <c r="C45" s="119" t="s">
        <v>49</v>
      </c>
      <c r="D45" s="125">
        <v>180</v>
      </c>
      <c r="E45" s="150">
        <v>49.21</v>
      </c>
      <c r="F45" s="113">
        <f t="shared" si="3"/>
        <v>4.8702519744264761E-2</v>
      </c>
      <c r="G45" s="142">
        <f>SUM(E46:E$51)/$E$52</f>
        <v>0.42943528433720624</v>
      </c>
      <c r="J45" s="143">
        <f>SUM($F$25:F30)</f>
        <v>0.54538468058655665</v>
      </c>
      <c r="K45" s="143">
        <f t="shared" si="4"/>
        <v>0.45461531941344335</v>
      </c>
      <c r="L45" s="143">
        <f>SUM($F$40:F45)</f>
        <v>0.57056471566279365</v>
      </c>
      <c r="M45" s="143">
        <v>1</v>
      </c>
      <c r="N45" s="144">
        <f t="shared" si="5"/>
        <v>4.4131777491685141E-2</v>
      </c>
      <c r="O45" s="145">
        <f t="shared" si="6"/>
        <v>0.95586822250831482</v>
      </c>
      <c r="P45" s="144">
        <f t="shared" si="7"/>
        <v>9.7074989792744162E-2</v>
      </c>
      <c r="Q45" s="144">
        <f t="shared" si="8"/>
        <v>1</v>
      </c>
      <c r="R45" s="146">
        <f>+N45*M45+O45*L45</f>
        <v>0.58951645807824182</v>
      </c>
    </row>
    <row r="46" spans="2:18" x14ac:dyDescent="0.2">
      <c r="B46" s="118"/>
      <c r="C46" s="119" t="s">
        <v>50</v>
      </c>
      <c r="D46" s="125">
        <v>150</v>
      </c>
      <c r="E46" s="126">
        <v>52.13</v>
      </c>
      <c r="F46" s="113">
        <f t="shared" si="3"/>
        <v>5.1592407117832188E-2</v>
      </c>
      <c r="G46" s="142">
        <f>SUM(E47:E$51)/$E$52</f>
        <v>0.37784287721937404</v>
      </c>
      <c r="J46" s="143">
        <f>SUM($F$25:F31)</f>
        <v>0.60162744045432714</v>
      </c>
      <c r="K46" s="143">
        <f t="shared" si="4"/>
        <v>0.39837255954567286</v>
      </c>
      <c r="L46" s="143">
        <f>SUM($F$40:F46)</f>
        <v>0.62215712278062585</v>
      </c>
      <c r="M46" s="143">
        <v>1</v>
      </c>
      <c r="N46" s="144">
        <f t="shared" si="5"/>
        <v>3.2997584652804057E-2</v>
      </c>
      <c r="O46" s="145">
        <f t="shared" si="6"/>
        <v>0.96700241534719589</v>
      </c>
      <c r="P46" s="144">
        <f t="shared" si="7"/>
        <v>8.2830967801688984E-2</v>
      </c>
      <c r="Q46" s="144">
        <f t="shared" si="8"/>
        <v>1</v>
      </c>
      <c r="R46" s="146">
        <f>+N46*M46+O46*L46</f>
        <v>0.63462502510713126</v>
      </c>
    </row>
    <row r="47" spans="2:18" x14ac:dyDescent="0.2">
      <c r="B47" s="118"/>
      <c r="C47" s="119" t="s">
        <v>51</v>
      </c>
      <c r="D47" s="125">
        <v>106</v>
      </c>
      <c r="E47" s="126">
        <v>81.2</v>
      </c>
      <c r="F47" s="113">
        <f t="shared" si="3"/>
        <v>8.036262148413531E-2</v>
      </c>
      <c r="G47" s="142">
        <f>SUM(E48:E$51)/$E$52</f>
        <v>0.29748025573523879</v>
      </c>
      <c r="J47" s="143">
        <f>SUM($F$25:F32)</f>
        <v>0.69115926878196254</v>
      </c>
      <c r="K47" s="143">
        <f t="shared" si="4"/>
        <v>0.30884073121803746</v>
      </c>
      <c r="L47" s="143">
        <f>SUM($F$40:F47)</f>
        <v>0.70251974426476116</v>
      </c>
      <c r="M47" s="143">
        <v>1</v>
      </c>
      <c r="N47" s="144">
        <f t="shared" si="5"/>
        <v>1.6171040850514736E-2</v>
      </c>
      <c r="O47" s="145">
        <f t="shared" si="6"/>
        <v>0.98382895914948532</v>
      </c>
      <c r="P47" s="144">
        <f t="shared" si="7"/>
        <v>5.2360453838901824E-2</v>
      </c>
      <c r="Q47" s="144">
        <f t="shared" si="8"/>
        <v>1</v>
      </c>
      <c r="R47" s="146">
        <f t="shared" ref="R47" si="9">+N47*M47+O47*L47</f>
        <v>0.70733030963247723</v>
      </c>
    </row>
    <row r="48" spans="2:18" x14ac:dyDescent="0.2">
      <c r="B48" s="118"/>
      <c r="C48" s="119" t="s">
        <v>52</v>
      </c>
      <c r="D48" s="125">
        <v>75</v>
      </c>
      <c r="E48" s="126">
        <v>57.47</v>
      </c>
      <c r="F48" s="113">
        <f t="shared" si="3"/>
        <v>5.6877338136616454E-2</v>
      </c>
      <c r="G48" s="142">
        <f>SUM(E49:E$51)/$E$52</f>
        <v>0.24060291759862232</v>
      </c>
      <c r="J48" s="143">
        <f>SUM($F$25:F33)</f>
        <v>0.75288333851326539</v>
      </c>
      <c r="K48" s="143">
        <f t="shared" si="4"/>
        <v>0.24711666148673461</v>
      </c>
      <c r="L48" s="143">
        <f>SUM($F$40:F48)</f>
        <v>0.7593970824013776</v>
      </c>
      <c r="M48" s="143">
        <v>1</v>
      </c>
      <c r="N48" s="144">
        <f t="shared" si="5"/>
        <v>8.5775202974369431E-3</v>
      </c>
      <c r="O48" s="145">
        <f t="shared" si="6"/>
        <v>0.99142247970256303</v>
      </c>
      <c r="P48" s="144">
        <f t="shared" si="7"/>
        <v>3.4710408621708377E-2</v>
      </c>
      <c r="Q48" s="144">
        <f t="shared" si="8"/>
        <v>1</v>
      </c>
      <c r="R48" s="146">
        <f>+N48*M48+O48*L48</f>
        <v>0.76146085881070236</v>
      </c>
    </row>
    <row r="49" spans="2:18" x14ac:dyDescent="0.2">
      <c r="B49" s="118"/>
      <c r="C49" s="119" t="s">
        <v>53</v>
      </c>
      <c r="D49" s="125">
        <v>53</v>
      </c>
      <c r="E49" s="126">
        <v>52.73</v>
      </c>
      <c r="F49" s="113">
        <f t="shared" si="3"/>
        <v>5.2186219591852885E-2</v>
      </c>
      <c r="G49" s="142">
        <f>SUM(E50:E$51)/$E$52</f>
        <v>0.18841669800676944</v>
      </c>
      <c r="J49" s="143">
        <f>SUM($F$25:F34)</f>
        <v>0.80600118667533138</v>
      </c>
      <c r="K49" s="143">
        <f t="shared" si="4"/>
        <v>0.19399881332466862</v>
      </c>
      <c r="L49" s="143">
        <f>SUM($F$40:F49)</f>
        <v>0.81158330199323048</v>
      </c>
      <c r="M49" s="143">
        <v>1</v>
      </c>
      <c r="N49" s="144">
        <f t="shared" si="5"/>
        <v>6.8780558991166319E-3</v>
      </c>
      <c r="O49" s="145">
        <f t="shared" si="6"/>
        <v>0.99312194410088339</v>
      </c>
      <c r="P49" s="144">
        <f t="shared" si="7"/>
        <v>3.5454113255867156E-2</v>
      </c>
      <c r="Q49" s="144">
        <f t="shared" si="8"/>
        <v>1</v>
      </c>
      <c r="R49" s="146">
        <f>+N49*M49+O49*L49</f>
        <v>0.81287924257444799</v>
      </c>
    </row>
    <row r="50" spans="2:18" x14ac:dyDescent="0.2">
      <c r="B50" s="118"/>
      <c r="C50" s="119" t="s">
        <v>54</v>
      </c>
      <c r="D50" s="125">
        <v>38</v>
      </c>
      <c r="E50" s="126">
        <v>29.5</v>
      </c>
      <c r="F50" s="113">
        <f t="shared" si="3"/>
        <v>2.9195779972684625E-2</v>
      </c>
      <c r="G50" s="142">
        <f>SUM(E51:E$51)/$E$52</f>
        <v>0.15922091803408481</v>
      </c>
      <c r="J50" s="143">
        <f>SUM($F$25:F35)</f>
        <v>0.83369027773853599</v>
      </c>
      <c r="K50" s="143">
        <f t="shared" si="4"/>
        <v>0.16630972226146401</v>
      </c>
      <c r="L50" s="143">
        <f>SUM($F$40:F50)</f>
        <v>0.84077908196591511</v>
      </c>
      <c r="M50" s="143">
        <v>1</v>
      </c>
      <c r="N50" s="144">
        <f t="shared" si="5"/>
        <v>8.4312328641716824E-3</v>
      </c>
      <c r="O50" s="145">
        <f t="shared" si="6"/>
        <v>0.99156876713582831</v>
      </c>
      <c r="P50" s="144">
        <f>+N50*M50/K50</f>
        <v>5.0695971044413812E-2</v>
      </c>
      <c r="Q50" s="144">
        <f>+O50*L50/J50</f>
        <v>1</v>
      </c>
      <c r="R50" s="146">
        <f>+N50*M50+O50*L50</f>
        <v>0.84212151060270768</v>
      </c>
    </row>
    <row r="51" spans="2:18" x14ac:dyDescent="0.2">
      <c r="B51" s="127"/>
      <c r="C51" s="128">
        <v>-38</v>
      </c>
      <c r="D51" s="129"/>
      <c r="E51" s="130">
        <f>5.04+155.84</f>
        <v>160.88</v>
      </c>
      <c r="F51" s="113">
        <f t="shared" si="3"/>
        <v>0.15922091803408481</v>
      </c>
      <c r="G51" s="131"/>
    </row>
    <row r="52" spans="2:18" x14ac:dyDescent="0.2">
      <c r="B52" s="132"/>
      <c r="C52" s="133" t="s">
        <v>55</v>
      </c>
      <c r="D52" s="134"/>
      <c r="E52" s="135">
        <f>SUM(E40:E51)</f>
        <v>1010.4200000000001</v>
      </c>
      <c r="F52" s="136">
        <f t="shared" si="3"/>
        <v>1</v>
      </c>
      <c r="G52" s="135"/>
    </row>
    <row r="53" spans="2:18" x14ac:dyDescent="0.2">
      <c r="C53" s="137"/>
      <c r="D53" s="138"/>
      <c r="E53" s="139"/>
      <c r="F53" s="140"/>
      <c r="G53" s="139"/>
    </row>
    <row r="54" spans="2:18" ht="12" thickBot="1" x14ac:dyDescent="0.25">
      <c r="B54" s="106" t="s">
        <v>23</v>
      </c>
      <c r="C54" s="177" t="s">
        <v>24</v>
      </c>
      <c r="D54" s="178"/>
      <c r="E54" s="107" t="s">
        <v>25</v>
      </c>
      <c r="F54" s="108" t="s">
        <v>26</v>
      </c>
      <c r="G54" s="107" t="s">
        <v>27</v>
      </c>
    </row>
    <row r="55" spans="2:18" ht="23.25" thickTop="1" x14ac:dyDescent="0.2">
      <c r="B55" s="109" t="str">
        <f>D10&amp;" "&amp;"("&amp;D11&amp;")"</f>
        <v>SC-014 feed to deck2 (DI-050)</v>
      </c>
      <c r="C55" s="110" t="s">
        <v>43</v>
      </c>
      <c r="D55" s="111">
        <v>1180</v>
      </c>
      <c r="E55" s="112">
        <v>46.32</v>
      </c>
      <c r="F55" s="113">
        <f>E55/$E$67</f>
        <v>5.7337376988302276E-2</v>
      </c>
      <c r="G55" s="114">
        <f>SUM(E56:E$66)/$E$67</f>
        <v>0.94266262301169768</v>
      </c>
    </row>
    <row r="56" spans="2:18" x14ac:dyDescent="0.2">
      <c r="B56" s="115" t="s">
        <v>44</v>
      </c>
      <c r="C56" s="111" t="s">
        <v>45</v>
      </c>
      <c r="D56" s="111">
        <v>600</v>
      </c>
      <c r="E56" s="112">
        <v>87.48</v>
      </c>
      <c r="F56" s="113">
        <f t="shared" ref="F56:F67" si="10">E56/$E$67</f>
        <v>0.10828742959707865</v>
      </c>
      <c r="G56" s="114">
        <f>SUM(E57:E$66)/$E$67</f>
        <v>0.83437519341461897</v>
      </c>
    </row>
    <row r="57" spans="2:18" x14ac:dyDescent="0.2">
      <c r="B57" s="117">
        <f>FORECAST(0.8,D56:D57,G56:G57)</f>
        <v>540.69859670530855</v>
      </c>
      <c r="C57" s="111" t="s">
        <v>46</v>
      </c>
      <c r="D57" s="111">
        <v>425</v>
      </c>
      <c r="E57" s="112">
        <v>81.95</v>
      </c>
      <c r="F57" s="113">
        <f t="shared" si="10"/>
        <v>0.10144209939964101</v>
      </c>
      <c r="G57" s="114">
        <f>SUM(E58:E$66)/$E$67</f>
        <v>0.73293309401497775</v>
      </c>
    </row>
    <row r="58" spans="2:18" x14ac:dyDescent="0.2">
      <c r="B58" s="118"/>
      <c r="C58" s="111" t="s">
        <v>47</v>
      </c>
      <c r="D58" s="111">
        <v>300</v>
      </c>
      <c r="E58" s="112">
        <v>110.55</v>
      </c>
      <c r="F58" s="113">
        <f t="shared" si="10"/>
        <v>0.13684471127065664</v>
      </c>
      <c r="G58" s="114">
        <f>SUM(E59:E$66)/$E$67</f>
        <v>0.5960883827443213</v>
      </c>
      <c r="H58" s="116"/>
      <c r="J58" s="143">
        <f t="shared" ref="J58:J65" si="11">J43</f>
        <v>0.37779786963523865</v>
      </c>
      <c r="K58" s="143">
        <f>1-J58</f>
        <v>0.62220213036476135</v>
      </c>
      <c r="L58" s="143">
        <f>SUM($F$55:F58)</f>
        <v>0.40391161725567859</v>
      </c>
      <c r="M58" s="143">
        <v>1</v>
      </c>
      <c r="N58" s="144">
        <f>+(L58-J58)/(L58+M58-1)</f>
        <v>6.4652133052934158E-2</v>
      </c>
      <c r="O58" s="145">
        <f>1-N58</f>
        <v>0.93534786694706584</v>
      </c>
      <c r="P58" s="144">
        <f>+N58*M58/K58</f>
        <v>0.10390856909318573</v>
      </c>
      <c r="Q58" s="144">
        <f>+O58*L58/J58</f>
        <v>1</v>
      </c>
      <c r="R58" s="146">
        <f>+N58*M58+O58*L58</f>
        <v>0.44245000268817281</v>
      </c>
    </row>
    <row r="59" spans="2:18" x14ac:dyDescent="0.2">
      <c r="B59" s="118"/>
      <c r="C59" s="119" t="s">
        <v>48</v>
      </c>
      <c r="D59" s="120">
        <v>212</v>
      </c>
      <c r="E59" s="121">
        <v>103.03</v>
      </c>
      <c r="F59" s="122">
        <f t="shared" si="10"/>
        <v>0.127536052484991</v>
      </c>
      <c r="G59" s="123">
        <f>SUM(E60:E$66)/$E$67</f>
        <v>0.46855233025933024</v>
      </c>
      <c r="H59" s="124">
        <f>SUM(F60:F66)*100</f>
        <v>46.855233025933032</v>
      </c>
      <c r="I59" s="116">
        <f>($I$207-H59)/($I$207*(100-H59))*10000</f>
        <v>10.070527979970683</v>
      </c>
      <c r="J59" s="143">
        <f t="shared" si="11"/>
        <v>0.50495295679936714</v>
      </c>
      <c r="K59" s="143">
        <f t="shared" ref="K59:K65" si="12">1-J59</f>
        <v>0.49504704320063286</v>
      </c>
      <c r="L59" s="143">
        <f>SUM($F$55:F59)</f>
        <v>0.53144766974066959</v>
      </c>
      <c r="M59" s="143">
        <v>1</v>
      </c>
      <c r="N59" s="144">
        <f t="shared" ref="N59:N65" si="13">+(L59-J59)/(L59+M59-1)</f>
        <v>4.9853850999536937E-2</v>
      </c>
      <c r="O59" s="145">
        <f t="shared" ref="O59:O65" si="14">1-N59</f>
        <v>0.95014614900046301</v>
      </c>
      <c r="P59" s="144">
        <f t="shared" ref="P59:P65" si="15">+N59*M59/K59</f>
        <v>0.10070527979970613</v>
      </c>
      <c r="Q59" s="144">
        <f t="shared" ref="Q59:Q65" si="16">+O59*L59/J59</f>
        <v>1</v>
      </c>
      <c r="R59" s="146">
        <f t="shared" ref="R59:R65" si="17">+N59*M59+O59*L59</f>
        <v>0.55480680779890412</v>
      </c>
    </row>
    <row r="60" spans="2:18" x14ac:dyDescent="0.2">
      <c r="B60" s="118"/>
      <c r="C60" s="119" t="s">
        <v>49</v>
      </c>
      <c r="D60" s="125">
        <v>180</v>
      </c>
      <c r="E60" s="126">
        <v>29.35</v>
      </c>
      <c r="F60" s="113">
        <f t="shared" si="10"/>
        <v>3.6331002042458371E-2</v>
      </c>
      <c r="G60" s="114">
        <f>SUM(E61:E$66)/$E$67</f>
        <v>0.43222132821687187</v>
      </c>
      <c r="J60" s="143">
        <f t="shared" si="11"/>
        <v>0.54538468058655665</v>
      </c>
      <c r="K60" s="143">
        <f t="shared" si="12"/>
        <v>0.45461531941344335</v>
      </c>
      <c r="L60" s="143">
        <f>SUM($F$55:F60)</f>
        <v>0.56777867178312791</v>
      </c>
      <c r="M60" s="143">
        <v>1</v>
      </c>
      <c r="N60" s="144">
        <f t="shared" si="13"/>
        <v>3.944140967155773E-2</v>
      </c>
      <c r="O60" s="145">
        <f t="shared" si="14"/>
        <v>0.96055859032844226</v>
      </c>
      <c r="P60" s="144">
        <f t="shared" si="15"/>
        <v>8.6757766373658673E-2</v>
      </c>
      <c r="Q60" s="144">
        <f t="shared" si="16"/>
        <v>1</v>
      </c>
      <c r="R60" s="146">
        <f t="shared" si="17"/>
        <v>0.58482609025811438</v>
      </c>
    </row>
    <row r="61" spans="2:18" x14ac:dyDescent="0.2">
      <c r="B61" s="118"/>
      <c r="C61" s="119" t="s">
        <v>50</v>
      </c>
      <c r="D61" s="125">
        <v>150</v>
      </c>
      <c r="E61" s="126">
        <v>43.35</v>
      </c>
      <c r="F61" s="113">
        <f t="shared" si="10"/>
        <v>5.3660951909389111E-2</v>
      </c>
      <c r="G61" s="114">
        <f>SUM(E62:E$66)/$E$67</f>
        <v>0.37856037630748274</v>
      </c>
      <c r="J61" s="143">
        <f t="shared" si="11"/>
        <v>0.60162744045432714</v>
      </c>
      <c r="K61" s="143">
        <f t="shared" si="12"/>
        <v>0.39837255954567286</v>
      </c>
      <c r="L61" s="143">
        <f>SUM($F$55:F61)</f>
        <v>0.62143962369251704</v>
      </c>
      <c r="M61" s="143">
        <v>1</v>
      </c>
      <c r="N61" s="144">
        <f t="shared" si="13"/>
        <v>3.1881107162862202E-2</v>
      </c>
      <c r="O61" s="145">
        <f t="shared" si="14"/>
        <v>0.96811889283713781</v>
      </c>
      <c r="P61" s="144">
        <f t="shared" si="15"/>
        <v>8.002837143005348E-2</v>
      </c>
      <c r="Q61" s="144">
        <f t="shared" si="16"/>
        <v>1</v>
      </c>
      <c r="R61" s="146">
        <f t="shared" si="17"/>
        <v>0.63350854761718933</v>
      </c>
    </row>
    <row r="62" spans="2:18" x14ac:dyDescent="0.2">
      <c r="B62" s="118"/>
      <c r="C62" s="119" t="s">
        <v>51</v>
      </c>
      <c r="D62" s="125">
        <v>106</v>
      </c>
      <c r="E62" s="126">
        <v>64.2</v>
      </c>
      <c r="F62" s="113">
        <f t="shared" si="10"/>
        <v>7.9470198675496678E-2</v>
      </c>
      <c r="G62" s="114">
        <f>SUM(E63:E$66)/$E$67</f>
        <v>0.29909017763198609</v>
      </c>
      <c r="J62" s="143">
        <f t="shared" si="11"/>
        <v>0.69115926878196254</v>
      </c>
      <c r="K62" s="143">
        <f t="shared" si="12"/>
        <v>0.30884073121803746</v>
      </c>
      <c r="L62" s="143">
        <f>SUM($F$55:F62)</f>
        <v>0.70090982236801369</v>
      </c>
      <c r="M62" s="143">
        <v>1</v>
      </c>
      <c r="N62" s="144">
        <f t="shared" si="13"/>
        <v>1.3911281130444203E-2</v>
      </c>
      <c r="O62" s="145">
        <f t="shared" si="14"/>
        <v>0.98608871886955585</v>
      </c>
      <c r="P62" s="144">
        <f t="shared" si="15"/>
        <v>4.5043544209921661E-2</v>
      </c>
      <c r="Q62" s="144">
        <f t="shared" si="16"/>
        <v>1</v>
      </c>
      <c r="R62" s="146">
        <f t="shared" si="17"/>
        <v>0.7050705499124067</v>
      </c>
    </row>
    <row r="63" spans="2:18" x14ac:dyDescent="0.2">
      <c r="B63" s="118"/>
      <c r="C63" s="119" t="s">
        <v>52</v>
      </c>
      <c r="D63" s="125">
        <v>75</v>
      </c>
      <c r="E63" s="126">
        <v>45.77</v>
      </c>
      <c r="F63" s="113">
        <f t="shared" si="10"/>
        <v>5.6656557529244284E-2</v>
      </c>
      <c r="G63" s="114">
        <f>SUM(E64:E$66)/$E$67</f>
        <v>0.24243362010274183</v>
      </c>
      <c r="J63" s="143">
        <f t="shared" si="11"/>
        <v>0.75288333851326539</v>
      </c>
      <c r="K63" s="143">
        <f t="shared" si="12"/>
        <v>0.24711666148673461</v>
      </c>
      <c r="L63" s="143">
        <f>SUM($F$55:F63)</f>
        <v>0.75756637989725795</v>
      </c>
      <c r="M63" s="143">
        <v>1</v>
      </c>
      <c r="N63" s="144">
        <f t="shared" si="13"/>
        <v>6.1816911471542328E-3</v>
      </c>
      <c r="O63" s="145">
        <f t="shared" si="14"/>
        <v>0.99381830885284572</v>
      </c>
      <c r="P63" s="144">
        <f t="shared" si="15"/>
        <v>2.5015274607398622E-2</v>
      </c>
      <c r="Q63" s="144">
        <f t="shared" si="16"/>
        <v>1</v>
      </c>
      <c r="R63" s="146">
        <f t="shared" si="17"/>
        <v>0.75906502966041967</v>
      </c>
    </row>
    <row r="64" spans="2:18" x14ac:dyDescent="0.2">
      <c r="B64" s="118"/>
      <c r="C64" s="119" t="s">
        <v>53</v>
      </c>
      <c r="D64" s="125">
        <v>53</v>
      </c>
      <c r="E64" s="126">
        <v>41.91</v>
      </c>
      <c r="F64" s="113">
        <f t="shared" si="10"/>
        <v>5.1878442780219088E-2</v>
      </c>
      <c r="G64" s="114">
        <f>SUM(E65:E$66)/$E$67</f>
        <v>0.19055517732252272</v>
      </c>
      <c r="J64" s="143">
        <f t="shared" si="11"/>
        <v>0.80600118667533138</v>
      </c>
      <c r="K64" s="143">
        <f t="shared" si="12"/>
        <v>0.19399881332466862</v>
      </c>
      <c r="L64" s="143">
        <f>SUM($F$55:F64)</f>
        <v>0.80944482267747708</v>
      </c>
      <c r="M64" s="143">
        <v>1</v>
      </c>
      <c r="N64" s="144">
        <f t="shared" si="13"/>
        <v>4.2543183990662392E-3</v>
      </c>
      <c r="O64" s="145">
        <f t="shared" si="14"/>
        <v>0.9957456816009338</v>
      </c>
      <c r="P64" s="144">
        <f t="shared" si="15"/>
        <v>2.1929610424711119E-2</v>
      </c>
      <c r="Q64" s="144">
        <f t="shared" si="16"/>
        <v>1</v>
      </c>
      <c r="R64" s="146">
        <f t="shared" si="17"/>
        <v>0.81025550507439759</v>
      </c>
    </row>
    <row r="65" spans="2:18" x14ac:dyDescent="0.2">
      <c r="B65" s="118"/>
      <c r="C65" s="119" t="s">
        <v>54</v>
      </c>
      <c r="D65" s="125">
        <v>38</v>
      </c>
      <c r="E65" s="126">
        <v>25.7</v>
      </c>
      <c r="F65" s="113">
        <f t="shared" si="10"/>
        <v>3.1812836541437142E-2</v>
      </c>
      <c r="G65" s="114">
        <f>SUM(E66:E$66)/$E$67</f>
        <v>0.15874234078108559</v>
      </c>
      <c r="J65" s="143">
        <f t="shared" si="11"/>
        <v>0.83369027773853599</v>
      </c>
      <c r="K65" s="143">
        <f t="shared" si="12"/>
        <v>0.16630972226146401</v>
      </c>
      <c r="L65" s="143">
        <f>SUM($F$55:F65)</f>
        <v>0.84125765921891427</v>
      </c>
      <c r="M65" s="143">
        <v>1</v>
      </c>
      <c r="N65" s="144">
        <f t="shared" si="13"/>
        <v>8.9953195640493696E-3</v>
      </c>
      <c r="O65" s="145">
        <f t="shared" si="14"/>
        <v>0.99100468043595058</v>
      </c>
      <c r="P65" s="144">
        <f t="shared" si="15"/>
        <v>5.4087755314192444E-2</v>
      </c>
      <c r="Q65" s="144">
        <f t="shared" si="16"/>
        <v>1</v>
      </c>
      <c r="R65" s="146">
        <f t="shared" si="17"/>
        <v>0.84268559730258541</v>
      </c>
    </row>
    <row r="66" spans="2:18" x14ac:dyDescent="0.2">
      <c r="B66" s="127"/>
      <c r="C66" s="128">
        <v>-38</v>
      </c>
      <c r="D66" s="129"/>
      <c r="E66" s="130">
        <f>5.86+122.38</f>
        <v>128.24</v>
      </c>
      <c r="F66" s="113">
        <f t="shared" si="10"/>
        <v>0.15874234078108559</v>
      </c>
      <c r="G66" s="131"/>
    </row>
    <row r="67" spans="2:18" x14ac:dyDescent="0.2">
      <c r="B67" s="132"/>
      <c r="C67" s="133" t="s">
        <v>55</v>
      </c>
      <c r="D67" s="134"/>
      <c r="E67" s="135">
        <f>SUM(E55:E66)</f>
        <v>807.85000000000014</v>
      </c>
      <c r="F67" s="136">
        <f t="shared" si="10"/>
        <v>1</v>
      </c>
      <c r="G67" s="135"/>
    </row>
    <row r="68" spans="2:18" x14ac:dyDescent="0.2">
      <c r="C68" s="137"/>
      <c r="D68" s="138"/>
      <c r="E68" s="139"/>
      <c r="F68" s="140"/>
      <c r="G68" s="139"/>
    </row>
    <row r="69" spans="2:18" ht="12" thickBot="1" x14ac:dyDescent="0.25">
      <c r="B69" s="106" t="s">
        <v>23</v>
      </c>
      <c r="C69" s="177" t="s">
        <v>24</v>
      </c>
      <c r="D69" s="178"/>
      <c r="E69" s="107" t="s">
        <v>25</v>
      </c>
      <c r="F69" s="108" t="s">
        <v>26</v>
      </c>
      <c r="G69" s="107" t="s">
        <v>27</v>
      </c>
    </row>
    <row r="70" spans="2:18" ht="23.25" thickTop="1" x14ac:dyDescent="0.2">
      <c r="B70" s="109" t="str">
        <f>E10&amp;" "&amp;"("&amp;E11&amp;")"</f>
        <v>SC-014 feed to deck3 (DI-050)</v>
      </c>
      <c r="C70" s="110" t="s">
        <v>43</v>
      </c>
      <c r="D70" s="111">
        <v>1180</v>
      </c>
      <c r="E70" s="112">
        <v>46.73</v>
      </c>
      <c r="F70" s="113">
        <f>E70/$E$82</f>
        <v>4.6430061800767038E-2</v>
      </c>
      <c r="G70" s="142">
        <f>SUM(E71:E$81)/$E$82</f>
        <v>0.95356993819923308</v>
      </c>
    </row>
    <row r="71" spans="2:18" x14ac:dyDescent="0.2">
      <c r="B71" s="115" t="s">
        <v>44</v>
      </c>
      <c r="C71" s="111" t="s">
        <v>45</v>
      </c>
      <c r="D71" s="111">
        <v>600</v>
      </c>
      <c r="E71" s="112">
        <v>107.69</v>
      </c>
      <c r="F71" s="113">
        <f t="shared" ref="F71:F82" si="18">E71/$E$82</f>
        <v>0.10699878783061423</v>
      </c>
      <c r="G71" s="142">
        <f>SUM(E72:E$81)/$E$82</f>
        <v>0.84657115036861874</v>
      </c>
    </row>
    <row r="72" spans="2:18" x14ac:dyDescent="0.2">
      <c r="B72" s="117">
        <f>FORECAST(0.8,D71:D72,G71:G72)</f>
        <v>511.80000000000018</v>
      </c>
      <c r="C72" s="111" t="s">
        <v>46</v>
      </c>
      <c r="D72" s="111">
        <v>425</v>
      </c>
      <c r="E72" s="112">
        <v>93</v>
      </c>
      <c r="F72" s="113">
        <f t="shared" si="18"/>
        <v>9.2403076128211747E-2</v>
      </c>
      <c r="G72" s="142">
        <f>SUM(E73:E$81)/$E$82</f>
        <v>0.75416807424040688</v>
      </c>
    </row>
    <row r="73" spans="2:18" x14ac:dyDescent="0.2">
      <c r="B73" s="118"/>
      <c r="C73" s="111" t="s">
        <v>47</v>
      </c>
      <c r="D73" s="111">
        <v>300</v>
      </c>
      <c r="E73" s="112">
        <v>130.65</v>
      </c>
      <c r="F73" s="113">
        <f t="shared" si="18"/>
        <v>0.12981141823818135</v>
      </c>
      <c r="G73" s="142">
        <f>SUM(E74:E$81)/$E$82</f>
        <v>0.62435665600222556</v>
      </c>
      <c r="H73" s="116"/>
      <c r="J73" s="143">
        <f t="shared" ref="J73:J80" si="19">J58</f>
        <v>0.37779786963523865</v>
      </c>
      <c r="K73" s="143">
        <f>1-J73</f>
        <v>0.62220213036476135</v>
      </c>
      <c r="L73" s="143">
        <f>SUM($F$70:F73)</f>
        <v>0.37564334399777433</v>
      </c>
      <c r="M73" s="143">
        <v>1</v>
      </c>
      <c r="N73" s="144">
        <f>+(L73-J73)/(L73+M73-1)</f>
        <v>-5.7355618617778211E-3</v>
      </c>
      <c r="O73" s="145">
        <f>1-N73</f>
        <v>1.0057355618617778</v>
      </c>
      <c r="P73" s="144">
        <f>+N73*M73/K73</f>
        <v>-9.2181649368757237E-3</v>
      </c>
      <c r="Q73" s="144">
        <f>+O73*L73/J73</f>
        <v>1</v>
      </c>
      <c r="R73" s="146">
        <f>+N73*M73+O73*L73</f>
        <v>0.37206230777346083</v>
      </c>
    </row>
    <row r="74" spans="2:18" x14ac:dyDescent="0.2">
      <c r="B74" s="118"/>
      <c r="C74" s="119" t="s">
        <v>48</v>
      </c>
      <c r="D74" s="120">
        <v>212</v>
      </c>
      <c r="E74" s="121">
        <v>120.98</v>
      </c>
      <c r="F74" s="122">
        <f t="shared" si="18"/>
        <v>0.12020348548377481</v>
      </c>
      <c r="G74" s="148">
        <f>SUM(E75:E$81)/$E$82</f>
        <v>0.50415317051845077</v>
      </c>
      <c r="H74" s="124">
        <f>SUM(F75:F81)*100</f>
        <v>50.415317051845086</v>
      </c>
      <c r="I74" s="116">
        <f>($I$207-H74)/($I$207*(100-H74))*10000</f>
        <v>-3.7097078289354206</v>
      </c>
      <c r="J74" s="143">
        <f t="shared" si="19"/>
        <v>0.50495295679936714</v>
      </c>
      <c r="K74" s="143">
        <f t="shared" ref="K74:K80" si="20">1-J74</f>
        <v>0.49504704320063286</v>
      </c>
      <c r="L74" s="143">
        <f>SUM($F$70:F74)</f>
        <v>0.49584682948154912</v>
      </c>
      <c r="M74" s="143">
        <v>1</v>
      </c>
      <c r="N74" s="144">
        <f t="shared" ref="N74:N80" si="21">+(L74-J74)/(L74+M74-1)</f>
        <v>-1.8364798918527443E-2</v>
      </c>
      <c r="O74" s="145">
        <f t="shared" ref="O74:O80" si="22">1-N74</f>
        <v>1.0183647989185274</v>
      </c>
      <c r="P74" s="144">
        <f t="shared" ref="P74:P80" si="23">+N74*M74/K74</f>
        <v>-3.7097078289354712E-2</v>
      </c>
      <c r="Q74" s="144">
        <f t="shared" ref="Q74:Q80" si="24">+O74*L74/J74</f>
        <v>1</v>
      </c>
      <c r="R74" s="146">
        <f t="shared" ref="R74:R80" si="25">+N74*M74+O74*L74</f>
        <v>0.4865881578808397</v>
      </c>
    </row>
    <row r="75" spans="2:18" x14ac:dyDescent="0.2">
      <c r="B75" s="118"/>
      <c r="C75" s="119" t="s">
        <v>49</v>
      </c>
      <c r="D75" s="125">
        <v>180</v>
      </c>
      <c r="E75" s="126">
        <v>46.06</v>
      </c>
      <c r="F75" s="113">
        <f t="shared" si="18"/>
        <v>4.5764362220058426E-2</v>
      </c>
      <c r="G75" s="142">
        <f>SUM(E76:E$81)/$E$82</f>
        <v>0.4583888082983924</v>
      </c>
      <c r="J75" s="143">
        <f t="shared" si="19"/>
        <v>0.54538468058655665</v>
      </c>
      <c r="K75" s="143">
        <f t="shared" si="20"/>
        <v>0.45461531941344335</v>
      </c>
      <c r="L75" s="143">
        <f>SUM($F$70:F75)</f>
        <v>0.54161119170160754</v>
      </c>
      <c r="M75" s="143">
        <v>1</v>
      </c>
      <c r="N75" s="144">
        <f t="shared" si="21"/>
        <v>-6.9671545617322689E-3</v>
      </c>
      <c r="O75" s="145">
        <f t="shared" si="22"/>
        <v>1.0069671545617322</v>
      </c>
      <c r="P75" s="144">
        <f t="shared" si="23"/>
        <v>-1.5325384482690718E-2</v>
      </c>
      <c r="Q75" s="144">
        <f t="shared" si="24"/>
        <v>1</v>
      </c>
      <c r="R75" s="146">
        <f t="shared" si="25"/>
        <v>0.5384175260248244</v>
      </c>
    </row>
    <row r="76" spans="2:18" x14ac:dyDescent="0.2">
      <c r="B76" s="118"/>
      <c r="C76" s="119" t="s">
        <v>50</v>
      </c>
      <c r="D76" s="125">
        <v>150</v>
      </c>
      <c r="E76" s="126">
        <v>48.68</v>
      </c>
      <c r="F76" s="113">
        <f t="shared" si="18"/>
        <v>4.8367545655068254E-2</v>
      </c>
      <c r="G76" s="142">
        <f>SUM(E77:E$81)/$E$82</f>
        <v>0.41002126264332411</v>
      </c>
      <c r="J76" s="143">
        <f t="shared" si="19"/>
        <v>0.60162744045432714</v>
      </c>
      <c r="K76" s="143">
        <f t="shared" si="20"/>
        <v>0.39837255954567286</v>
      </c>
      <c r="L76" s="143">
        <f>SUM($F$70:F76)</f>
        <v>0.58997873735667583</v>
      </c>
      <c r="M76" s="143">
        <v>1</v>
      </c>
      <c r="N76" s="144">
        <f t="shared" si="21"/>
        <v>-1.9744276123986833E-2</v>
      </c>
      <c r="O76" s="145">
        <f t="shared" si="22"/>
        <v>1.0197442761239868</v>
      </c>
      <c r="P76" s="144">
        <f t="shared" si="23"/>
        <v>-4.956233970157068E-2</v>
      </c>
      <c r="Q76" s="144">
        <f t="shared" si="24"/>
        <v>1</v>
      </c>
      <c r="R76" s="146">
        <f t="shared" si="25"/>
        <v>0.58188316433034026</v>
      </c>
    </row>
    <row r="77" spans="2:18" x14ac:dyDescent="0.2">
      <c r="B77" s="118"/>
      <c r="C77" s="119" t="s">
        <v>51</v>
      </c>
      <c r="D77" s="125">
        <v>106</v>
      </c>
      <c r="E77" s="126">
        <v>82.71</v>
      </c>
      <c r="F77" s="113">
        <f t="shared" si="18"/>
        <v>8.2179122866283802E-2</v>
      </c>
      <c r="G77" s="142">
        <f>SUM(E78:E$81)/$E$82</f>
        <v>0.32784213977704035</v>
      </c>
      <c r="J77" s="143">
        <f t="shared" si="19"/>
        <v>0.69115926878196254</v>
      </c>
      <c r="K77" s="143">
        <f t="shared" si="20"/>
        <v>0.30884073121803746</v>
      </c>
      <c r="L77" s="143">
        <f>SUM($F$70:F77)</f>
        <v>0.67215786022295965</v>
      </c>
      <c r="M77" s="143">
        <v>1</v>
      </c>
      <c r="N77" s="144">
        <f t="shared" si="21"/>
        <v>-2.8269264831181164E-2</v>
      </c>
      <c r="O77" s="145">
        <f t="shared" si="22"/>
        <v>1.0282692648311811</v>
      </c>
      <c r="P77" s="144">
        <f t="shared" si="23"/>
        <v>-9.1533473320342063E-2</v>
      </c>
      <c r="Q77" s="144">
        <f t="shared" si="24"/>
        <v>1</v>
      </c>
      <c r="R77" s="146">
        <f t="shared" si="25"/>
        <v>0.66289000395078135</v>
      </c>
    </row>
    <row r="78" spans="2:18" x14ac:dyDescent="0.2">
      <c r="B78" s="118"/>
      <c r="C78" s="119" t="s">
        <v>52</v>
      </c>
      <c r="D78" s="125">
        <v>75</v>
      </c>
      <c r="E78" s="126">
        <v>60.71</v>
      </c>
      <c r="F78" s="113">
        <f t="shared" si="18"/>
        <v>6.0320330663911133E-2</v>
      </c>
      <c r="G78" s="142">
        <f>SUM(E79:E$81)/$E$82</f>
        <v>0.26752180911312917</v>
      </c>
      <c r="J78" s="143">
        <f t="shared" si="19"/>
        <v>0.75288333851326539</v>
      </c>
      <c r="K78" s="143">
        <f t="shared" si="20"/>
        <v>0.24711666148673461</v>
      </c>
      <c r="L78" s="143">
        <f>SUM($F$70:F78)</f>
        <v>0.73247819088687083</v>
      </c>
      <c r="M78" s="143">
        <v>1</v>
      </c>
      <c r="N78" s="144">
        <f t="shared" si="21"/>
        <v>-2.7857686249591122E-2</v>
      </c>
      <c r="O78" s="145">
        <f t="shared" si="22"/>
        <v>1.0278576862495912</v>
      </c>
      <c r="P78" s="144">
        <f t="shared" si="23"/>
        <v>-0.11273091050190698</v>
      </c>
      <c r="Q78" s="144">
        <f t="shared" si="24"/>
        <v>1</v>
      </c>
      <c r="R78" s="146">
        <f t="shared" si="25"/>
        <v>0.72502565226367421</v>
      </c>
    </row>
    <row r="79" spans="2:18" x14ac:dyDescent="0.2">
      <c r="B79" s="118"/>
      <c r="C79" s="119" t="s">
        <v>53</v>
      </c>
      <c r="D79" s="125">
        <v>53</v>
      </c>
      <c r="E79" s="126">
        <v>54.99</v>
      </c>
      <c r="F79" s="113">
        <f t="shared" si="18"/>
        <v>5.463704469129424E-2</v>
      </c>
      <c r="G79" s="142">
        <f>SUM(E80:E$81)/$E$82</f>
        <v>0.21288476442183496</v>
      </c>
      <c r="J79" s="143">
        <f t="shared" si="19"/>
        <v>0.80600118667533138</v>
      </c>
      <c r="K79" s="143">
        <f t="shared" si="20"/>
        <v>0.19399881332466862</v>
      </c>
      <c r="L79" s="143">
        <f>SUM($F$70:F79)</f>
        <v>0.7871152355781651</v>
      </c>
      <c r="M79" s="143">
        <v>1</v>
      </c>
      <c r="N79" s="144">
        <f t="shared" si="21"/>
        <v>-2.3993883288631637E-2</v>
      </c>
      <c r="O79" s="145">
        <f t="shared" si="22"/>
        <v>1.0239938832886317</v>
      </c>
      <c r="P79" s="144">
        <f t="shared" si="23"/>
        <v>-0.12368056730572077</v>
      </c>
      <c r="Q79" s="144">
        <f t="shared" si="24"/>
        <v>1.0000000000000002</v>
      </c>
      <c r="R79" s="146">
        <f t="shared" si="25"/>
        <v>0.78200730338669988</v>
      </c>
    </row>
    <row r="80" spans="2:18" x14ac:dyDescent="0.2">
      <c r="B80" s="118"/>
      <c r="C80" s="119" t="s">
        <v>54</v>
      </c>
      <c r="D80" s="125">
        <v>38</v>
      </c>
      <c r="E80" s="126">
        <v>33.99</v>
      </c>
      <c r="F80" s="113">
        <f t="shared" si="18"/>
        <v>3.3771833952665781E-2</v>
      </c>
      <c r="G80" s="142">
        <f>SUM(E81:E$81)/$E$82</f>
        <v>0.17911293046916918</v>
      </c>
      <c r="J80" s="143">
        <f t="shared" si="19"/>
        <v>0.83369027773853599</v>
      </c>
      <c r="K80" s="143">
        <f t="shared" si="20"/>
        <v>0.16630972226146401</v>
      </c>
      <c r="L80" s="143">
        <f>SUM($F$70:F80)</f>
        <v>0.8208870695308309</v>
      </c>
      <c r="M80" s="143">
        <v>1</v>
      </c>
      <c r="N80" s="144">
        <f t="shared" si="21"/>
        <v>-1.5596796055056174E-2</v>
      </c>
      <c r="O80" s="145">
        <f t="shared" si="22"/>
        <v>1.0155967960550563</v>
      </c>
      <c r="P80" s="144">
        <f t="shared" si="23"/>
        <v>-9.3781625289083542E-2</v>
      </c>
      <c r="Q80" s="144">
        <f t="shared" si="24"/>
        <v>1.0000000000000002</v>
      </c>
      <c r="R80" s="146">
        <f t="shared" si="25"/>
        <v>0.81809348168347995</v>
      </c>
    </row>
    <row r="81" spans="2:18" x14ac:dyDescent="0.2">
      <c r="B81" s="127"/>
      <c r="C81" s="128">
        <v>-38</v>
      </c>
      <c r="D81" s="129"/>
      <c r="E81" s="130">
        <f>10.21+170.06</f>
        <v>180.27</v>
      </c>
      <c r="F81" s="113">
        <f t="shared" si="18"/>
        <v>0.17911293046916918</v>
      </c>
      <c r="G81" s="131"/>
    </row>
    <row r="82" spans="2:18" x14ac:dyDescent="0.2">
      <c r="B82" s="132"/>
      <c r="C82" s="133" t="s">
        <v>55</v>
      </c>
      <c r="D82" s="134"/>
      <c r="E82" s="135">
        <f>SUM(E70:E81)</f>
        <v>1006.46</v>
      </c>
      <c r="F82" s="151">
        <f t="shared" si="18"/>
        <v>1</v>
      </c>
      <c r="G82" s="135"/>
    </row>
    <row r="83" spans="2:18" x14ac:dyDescent="0.2">
      <c r="C83" s="137"/>
      <c r="D83" s="138"/>
      <c r="E83" s="139"/>
      <c r="F83" s="152"/>
      <c r="G83" s="139"/>
    </row>
    <row r="84" spans="2:18" ht="12" thickBot="1" x14ac:dyDescent="0.25">
      <c r="B84" s="106" t="s">
        <v>23</v>
      </c>
      <c r="C84" s="177" t="s">
        <v>24</v>
      </c>
      <c r="D84" s="178"/>
      <c r="E84" s="107" t="s">
        <v>25</v>
      </c>
      <c r="F84" s="108" t="s">
        <v>26</v>
      </c>
      <c r="G84" s="107" t="s">
        <v>27</v>
      </c>
    </row>
    <row r="85" spans="2:18" ht="23.25" thickTop="1" x14ac:dyDescent="0.2">
      <c r="B85" s="109" t="str">
        <f>F10&amp;" "&amp;"("&amp;F11&amp;")"</f>
        <v>SC-014 feed to deck4 (DI-050)</v>
      </c>
      <c r="C85" s="110" t="s">
        <v>43</v>
      </c>
      <c r="D85" s="111">
        <v>1180</v>
      </c>
      <c r="E85" s="112">
        <f>48.91+29.66</f>
        <v>78.569999999999993</v>
      </c>
      <c r="F85" s="113">
        <f t="shared" ref="F85:F96" si="26">E85/$E$97</f>
        <v>4.7302544837177378E-2</v>
      </c>
      <c r="G85" s="114">
        <f>SUM(E86:E$96)/$E$97</f>
        <v>0.95269745516282267</v>
      </c>
    </row>
    <row r="86" spans="2:18" x14ac:dyDescent="0.2">
      <c r="B86" s="115" t="s">
        <v>44</v>
      </c>
      <c r="C86" s="111" t="s">
        <v>45</v>
      </c>
      <c r="D86" s="111">
        <v>600</v>
      </c>
      <c r="E86" s="112">
        <f>117.2+68.29</f>
        <v>185.49</v>
      </c>
      <c r="F86" s="113">
        <f t="shared" si="26"/>
        <v>0.11167301822385176</v>
      </c>
      <c r="G86" s="114">
        <f>SUM(E87:E$96)/$E$97</f>
        <v>0.84102443693897089</v>
      </c>
    </row>
    <row r="87" spans="2:18" x14ac:dyDescent="0.2">
      <c r="B87" s="117">
        <f>FORECAST(0.8,D86:D87,G86:G87)</f>
        <v>525.28757596641822</v>
      </c>
      <c r="C87" s="111" t="s">
        <v>46</v>
      </c>
      <c r="D87" s="111">
        <v>425</v>
      </c>
      <c r="E87" s="112">
        <f>99.66+59.95</f>
        <v>159.61000000000001</v>
      </c>
      <c r="F87" s="113">
        <f t="shared" si="26"/>
        <v>9.6092136712000537E-2</v>
      </c>
      <c r="G87" s="114">
        <f>SUM(E88:E$96)/$E$97</f>
        <v>0.74493230022697032</v>
      </c>
    </row>
    <row r="88" spans="2:18" x14ac:dyDescent="0.2">
      <c r="B88" s="118"/>
      <c r="C88" s="111" t="s">
        <v>47</v>
      </c>
      <c r="D88" s="111">
        <v>300</v>
      </c>
      <c r="E88" s="112">
        <f>137.77+82.86</f>
        <v>220.63</v>
      </c>
      <c r="F88" s="113">
        <f t="shared" si="26"/>
        <v>0.13282882101853691</v>
      </c>
      <c r="G88" s="114">
        <f>SUM(E89:E$96)/$E$97</f>
        <v>0.61210347920843344</v>
      </c>
      <c r="H88" s="116"/>
      <c r="J88" s="143">
        <f t="shared" ref="J88:J95" si="27">J73</f>
        <v>0.37779786963523865</v>
      </c>
      <c r="K88" s="143">
        <f>1-J88</f>
        <v>0.62220213036476135</v>
      </c>
      <c r="L88" s="143">
        <f>SUM($F$85:F88)</f>
        <v>0.38789652079156656</v>
      </c>
      <c r="M88" s="143">
        <v>1</v>
      </c>
      <c r="N88" s="144">
        <f>+(L88-J88)/(L88+M88-1)</f>
        <v>2.603439478064911E-2</v>
      </c>
      <c r="O88" s="145">
        <f>1-N88</f>
        <v>0.97396560521935094</v>
      </c>
      <c r="P88" s="144">
        <f>+N88*M88/K88</f>
        <v>4.1842342721306082E-2</v>
      </c>
      <c r="Q88" s="144">
        <f>+O88*L88/J88</f>
        <v>1</v>
      </c>
      <c r="R88" s="146">
        <f>+N88*M88+O88*L88</f>
        <v>0.40383226441588777</v>
      </c>
    </row>
    <row r="89" spans="2:18" x14ac:dyDescent="0.2">
      <c r="B89" s="118"/>
      <c r="C89" s="119" t="s">
        <v>48</v>
      </c>
      <c r="D89" s="120">
        <v>212</v>
      </c>
      <c r="E89" s="121">
        <f>125.48+82.33</f>
        <v>207.81</v>
      </c>
      <c r="F89" s="122">
        <f t="shared" si="26"/>
        <v>0.12511062546282081</v>
      </c>
      <c r="G89" s="123">
        <f>SUM(E90:E$96)/$E$97</f>
        <v>0.48699285374561269</v>
      </c>
      <c r="H89" s="124">
        <f>SUM(F90:F96)*100</f>
        <v>48.699285374561263</v>
      </c>
      <c r="I89" s="116">
        <f>($I$207-H89)/($I$207*(100-H89))*10000</f>
        <v>3.1714068160753843</v>
      </c>
      <c r="J89" s="143">
        <f t="shared" si="27"/>
        <v>0.50495295679936714</v>
      </c>
      <c r="K89" s="143">
        <f t="shared" ref="K89:K95" si="28">1-J89</f>
        <v>0.49504704320063286</v>
      </c>
      <c r="L89" s="143">
        <f>SUM($F$85:F89)</f>
        <v>0.51300714625438737</v>
      </c>
      <c r="M89" s="143">
        <v>1</v>
      </c>
      <c r="N89" s="144">
        <f t="shared" ref="N89:N95" si="29">+(L89-J89)/(L89+M89-1)</f>
        <v>1.569995567084433E-2</v>
      </c>
      <c r="O89" s="145">
        <f t="shared" ref="O89:O95" si="30">1-N89</f>
        <v>0.98430004432915563</v>
      </c>
      <c r="P89" s="144">
        <f t="shared" ref="P89:P95" si="31">+N89*M89/K89</f>
        <v>3.171406816075345E-2</v>
      </c>
      <c r="Q89" s="144">
        <f t="shared" ref="Q89:Q95" si="32">+O89*L89/J89</f>
        <v>1</v>
      </c>
      <c r="R89" s="146">
        <f t="shared" ref="R89:R95" si="33">+N89*M89+O89*L89</f>
        <v>0.5206529124702115</v>
      </c>
    </row>
    <row r="90" spans="2:18" x14ac:dyDescent="0.2">
      <c r="B90" s="118"/>
      <c r="C90" s="119" t="s">
        <v>49</v>
      </c>
      <c r="D90" s="125">
        <v>180</v>
      </c>
      <c r="E90" s="150">
        <f>43.17+26.41</f>
        <v>69.58</v>
      </c>
      <c r="F90" s="113">
        <f t="shared" si="26"/>
        <v>4.1890175254814838E-2</v>
      </c>
      <c r="G90" s="114">
        <f>SUM(E91:E$96)/$E$97</f>
        <v>0.44510267849079771</v>
      </c>
      <c r="J90" s="143">
        <f t="shared" si="27"/>
        <v>0.54538468058655665</v>
      </c>
      <c r="K90" s="143">
        <f t="shared" si="28"/>
        <v>0.45461531941344335</v>
      </c>
      <c r="L90" s="143">
        <f>SUM($F$85:F90)</f>
        <v>0.55489732150920223</v>
      </c>
      <c r="M90" s="143">
        <v>1</v>
      </c>
      <c r="N90" s="144">
        <f t="shared" si="29"/>
        <v>1.7143065129190449E-2</v>
      </c>
      <c r="O90" s="145">
        <f t="shared" si="30"/>
        <v>0.98285693487080961</v>
      </c>
      <c r="P90" s="144">
        <f t="shared" si="31"/>
        <v>3.7708947316841157E-2</v>
      </c>
      <c r="Q90" s="144">
        <f t="shared" si="32"/>
        <v>1</v>
      </c>
      <c r="R90" s="146">
        <f t="shared" si="33"/>
        <v>0.56252774571574715</v>
      </c>
    </row>
    <row r="91" spans="2:18" x14ac:dyDescent="0.2">
      <c r="B91" s="118"/>
      <c r="C91" s="119" t="s">
        <v>50</v>
      </c>
      <c r="D91" s="125">
        <v>150</v>
      </c>
      <c r="E91" s="126">
        <f>55.16+35.4</f>
        <v>90.56</v>
      </c>
      <c r="F91" s="113">
        <f t="shared" si="26"/>
        <v>5.4521044424777697E-2</v>
      </c>
      <c r="G91" s="114">
        <f>SUM(E92:E$96)/$E$97</f>
        <v>0.39058163406602009</v>
      </c>
      <c r="J91" s="143">
        <f t="shared" si="27"/>
        <v>0.60162744045432714</v>
      </c>
      <c r="K91" s="143">
        <f t="shared" si="28"/>
        <v>0.39837255954567286</v>
      </c>
      <c r="L91" s="143">
        <f>SUM($F$85:F91)</f>
        <v>0.60941836593397991</v>
      </c>
      <c r="M91" s="143">
        <v>1</v>
      </c>
      <c r="N91" s="144">
        <f t="shared" si="29"/>
        <v>1.2784198696920764E-2</v>
      </c>
      <c r="O91" s="145">
        <f t="shared" si="30"/>
        <v>0.98721580130307929</v>
      </c>
      <c r="P91" s="144">
        <f t="shared" si="31"/>
        <v>3.2091062475539493E-2</v>
      </c>
      <c r="Q91" s="144">
        <f t="shared" si="32"/>
        <v>1</v>
      </c>
      <c r="R91" s="146">
        <f t="shared" si="33"/>
        <v>0.61441163915124786</v>
      </c>
    </row>
    <row r="92" spans="2:18" x14ac:dyDescent="0.2">
      <c r="B92" s="118"/>
      <c r="C92" s="119" t="s">
        <v>51</v>
      </c>
      <c r="D92" s="125">
        <v>106</v>
      </c>
      <c r="E92" s="126">
        <v>146.97</v>
      </c>
      <c r="F92" s="113">
        <f t="shared" si="26"/>
        <v>8.8482308956598699E-2</v>
      </c>
      <c r="G92" s="114">
        <f>SUM(E93:E$96)/$E$97</f>
        <v>0.30209932510942139</v>
      </c>
      <c r="J92" s="143">
        <f t="shared" si="27"/>
        <v>0.69115926878196254</v>
      </c>
      <c r="K92" s="143">
        <f t="shared" si="28"/>
        <v>0.30884073121803746</v>
      </c>
      <c r="L92" s="143">
        <f>SUM($F$85:F92)</f>
        <v>0.69790067489057861</v>
      </c>
      <c r="M92" s="143">
        <v>1</v>
      </c>
      <c r="N92" s="144">
        <f t="shared" si="29"/>
        <v>9.659549490581917E-3</v>
      </c>
      <c r="O92" s="145">
        <f t="shared" si="30"/>
        <v>0.9903404505094181</v>
      </c>
      <c r="P92" s="144">
        <f t="shared" si="31"/>
        <v>3.1276799055893971E-2</v>
      </c>
      <c r="Q92" s="144">
        <f t="shared" si="32"/>
        <v>1</v>
      </c>
      <c r="R92" s="146">
        <f t="shared" si="33"/>
        <v>0.70081881827254444</v>
      </c>
    </row>
    <row r="93" spans="2:18" x14ac:dyDescent="0.2">
      <c r="B93" s="118"/>
      <c r="C93" s="119" t="s">
        <v>52</v>
      </c>
      <c r="D93" s="125">
        <v>75</v>
      </c>
      <c r="E93" s="126">
        <v>102.08</v>
      </c>
      <c r="F93" s="113">
        <f t="shared" si="26"/>
        <v>6.1456583644890761E-2</v>
      </c>
      <c r="G93" s="114">
        <f>SUM(E94:E$96)/$E$97</f>
        <v>0.24064274146453063</v>
      </c>
      <c r="J93" s="143">
        <f t="shared" si="27"/>
        <v>0.75288333851326539</v>
      </c>
      <c r="K93" s="143">
        <f t="shared" si="28"/>
        <v>0.24711666148673461</v>
      </c>
      <c r="L93" s="143">
        <f>SUM($F$85:F93)</f>
        <v>0.75935725853546931</v>
      </c>
      <c r="M93" s="143">
        <v>1</v>
      </c>
      <c r="N93" s="144">
        <f t="shared" si="29"/>
        <v>8.5255259621667689E-3</v>
      </c>
      <c r="O93" s="145">
        <f t="shared" si="30"/>
        <v>0.99147447403783318</v>
      </c>
      <c r="P93" s="144">
        <f t="shared" si="31"/>
        <v>3.4500004616744247E-2</v>
      </c>
      <c r="Q93" s="144">
        <f t="shared" si="32"/>
        <v>1</v>
      </c>
      <c r="R93" s="146">
        <f t="shared" si="33"/>
        <v>0.76140886447543221</v>
      </c>
    </row>
    <row r="94" spans="2:18" x14ac:dyDescent="0.2">
      <c r="B94" s="118"/>
      <c r="C94" s="119" t="s">
        <v>53</v>
      </c>
      <c r="D94" s="125">
        <v>53</v>
      </c>
      <c r="E94" s="150">
        <v>82.65</v>
      </c>
      <c r="F94" s="113">
        <f t="shared" si="26"/>
        <v>4.9758881644300763E-2</v>
      </c>
      <c r="G94" s="114">
        <f>SUM(E95:E$96)/$E$97</f>
        <v>0.19088385982022987</v>
      </c>
      <c r="J94" s="143">
        <f t="shared" si="27"/>
        <v>0.80600118667533138</v>
      </c>
      <c r="K94" s="143">
        <f t="shared" si="28"/>
        <v>0.19399881332466862</v>
      </c>
      <c r="L94" s="143">
        <f>SUM($F$85:F94)</f>
        <v>0.80911614017977007</v>
      </c>
      <c r="M94" s="143">
        <v>1</v>
      </c>
      <c r="N94" s="144">
        <f t="shared" si="29"/>
        <v>3.849822478818191E-3</v>
      </c>
      <c r="O94" s="145">
        <f t="shared" si="30"/>
        <v>0.99615017752118185</v>
      </c>
      <c r="P94" s="144">
        <f t="shared" si="31"/>
        <v>1.9844567154002551E-2</v>
      </c>
      <c r="Q94" s="144">
        <f t="shared" si="32"/>
        <v>1</v>
      </c>
      <c r="R94" s="146">
        <f t="shared" si="33"/>
        <v>0.80985100915414954</v>
      </c>
    </row>
    <row r="95" spans="2:18" x14ac:dyDescent="0.2">
      <c r="B95" s="118"/>
      <c r="C95" s="119" t="s">
        <v>54</v>
      </c>
      <c r="D95" s="125">
        <v>38</v>
      </c>
      <c r="E95" s="126">
        <v>41.74</v>
      </c>
      <c r="F95" s="113">
        <f t="shared" si="26"/>
        <v>2.5129288806208273E-2</v>
      </c>
      <c r="G95" s="114">
        <f>SUM(E96:E$96)/$E$97</f>
        <v>0.16575457101402158</v>
      </c>
      <c r="J95" s="143">
        <f t="shared" si="27"/>
        <v>0.83369027773853599</v>
      </c>
      <c r="K95" s="143">
        <f t="shared" si="28"/>
        <v>0.16630972226146401</v>
      </c>
      <c r="L95" s="143">
        <f>SUM($F$85:F95)</f>
        <v>0.83424542898597831</v>
      </c>
      <c r="M95" s="143">
        <v>1</v>
      </c>
      <c r="N95" s="144">
        <f t="shared" si="29"/>
        <v>6.6545314862210777E-4</v>
      </c>
      <c r="O95" s="145">
        <f t="shared" si="30"/>
        <v>0.9993345468513779</v>
      </c>
      <c r="P95" s="144">
        <f t="shared" si="31"/>
        <v>4.0012883166019291E-3</v>
      </c>
      <c r="Q95" s="144">
        <f t="shared" si="32"/>
        <v>1</v>
      </c>
      <c r="R95" s="146">
        <f t="shared" si="33"/>
        <v>0.83435573088715809</v>
      </c>
    </row>
    <row r="96" spans="2:18" x14ac:dyDescent="0.2">
      <c r="B96" s="127"/>
      <c r="C96" s="128">
        <v>-38</v>
      </c>
      <c r="D96" s="129"/>
      <c r="E96" s="130">
        <f>9.67+265.65</f>
        <v>275.32</v>
      </c>
      <c r="F96" s="113">
        <f t="shared" si="26"/>
        <v>0.16575457101402158</v>
      </c>
      <c r="G96" s="131"/>
    </row>
    <row r="97" spans="2:18" x14ac:dyDescent="0.2">
      <c r="B97" s="132"/>
      <c r="C97" s="133" t="s">
        <v>55</v>
      </c>
      <c r="D97" s="134"/>
      <c r="E97" s="135">
        <f>SUM(E85:E96)</f>
        <v>1661.01</v>
      </c>
      <c r="F97" s="136">
        <f>E97/$E$97</f>
        <v>1</v>
      </c>
      <c r="G97" s="135"/>
    </row>
    <row r="98" spans="2:18" x14ac:dyDescent="0.2">
      <c r="C98" s="137"/>
      <c r="D98" s="138"/>
      <c r="E98" s="139"/>
      <c r="F98" s="140"/>
      <c r="G98" s="139"/>
    </row>
    <row r="99" spans="2:18" ht="12" thickBot="1" x14ac:dyDescent="0.25">
      <c r="B99" s="106" t="s">
        <v>23</v>
      </c>
      <c r="C99" s="177" t="s">
        <v>24</v>
      </c>
      <c r="D99" s="178"/>
      <c r="E99" s="107" t="s">
        <v>25</v>
      </c>
      <c r="F99" s="108" t="s">
        <v>26</v>
      </c>
      <c r="G99" s="107" t="s">
        <v>27</v>
      </c>
    </row>
    <row r="100" spans="2:18" ht="23.25" thickTop="1" x14ac:dyDescent="0.2">
      <c r="B100" s="109" t="str">
        <f>G10&amp;" "&amp;"("&amp;G11&amp;")"</f>
        <v>SC-014 feed to deck5 (DI-050)</v>
      </c>
      <c r="C100" s="110" t="s">
        <v>43</v>
      </c>
      <c r="D100" s="111">
        <v>1180</v>
      </c>
      <c r="E100" s="112">
        <v>63.44</v>
      </c>
      <c r="F100" s="113">
        <f t="shared" ref="F100:F112" si="34">E100/$E$112</f>
        <v>3.3917515852054617E-2</v>
      </c>
      <c r="G100" s="114">
        <f>SUM(E101:E$111)/$E$112</f>
        <v>0.9660824841479454</v>
      </c>
    </row>
    <row r="101" spans="2:18" x14ac:dyDescent="0.2">
      <c r="B101" s="115" t="s">
        <v>44</v>
      </c>
      <c r="C101" s="111" t="s">
        <v>45</v>
      </c>
      <c r="D101" s="111">
        <v>600</v>
      </c>
      <c r="E101" s="112">
        <v>173.01</v>
      </c>
      <c r="F101" s="113">
        <f t="shared" si="34"/>
        <v>9.249794163877631E-2</v>
      </c>
      <c r="G101" s="114">
        <f>SUM(E102:E$111)/$E$112</f>
        <v>0.87358454250916895</v>
      </c>
    </row>
    <row r="102" spans="2:18" x14ac:dyDescent="0.2">
      <c r="B102" s="117">
        <f>FORECAST(0.8,D101:D102,G101:G102)</f>
        <v>462.96893667861423</v>
      </c>
      <c r="C102" s="111" t="s">
        <v>46</v>
      </c>
      <c r="D102" s="111">
        <v>425</v>
      </c>
      <c r="E102" s="112">
        <v>175.77</v>
      </c>
      <c r="F102" s="113">
        <f t="shared" si="34"/>
        <v>9.3973546048481085E-2</v>
      </c>
      <c r="G102" s="114">
        <f>SUM(E103:E$111)/$E$112</f>
        <v>0.77961099646068788</v>
      </c>
    </row>
    <row r="103" spans="2:18" x14ac:dyDescent="0.2">
      <c r="B103" s="118"/>
      <c r="C103" s="111" t="s">
        <v>47</v>
      </c>
      <c r="D103" s="111">
        <v>300</v>
      </c>
      <c r="E103" s="112">
        <v>236.33</v>
      </c>
      <c r="F103" s="113">
        <f t="shared" si="34"/>
        <v>0.12635130077736551</v>
      </c>
      <c r="G103" s="114">
        <f>SUM(E104:E$111)/$E$112</f>
        <v>0.65325969568332243</v>
      </c>
      <c r="H103" s="116"/>
      <c r="J103" s="143">
        <f t="shared" ref="J103:J110" si="35">J88</f>
        <v>0.37779786963523865</v>
      </c>
      <c r="K103" s="143">
        <f>1-J103</f>
        <v>0.62220213036476135</v>
      </c>
      <c r="L103" s="143">
        <f>SUM($F$101:F103)</f>
        <v>0.31282278846462291</v>
      </c>
      <c r="M103" s="143">
        <v>1</v>
      </c>
      <c r="N103" s="144">
        <f>+(L103-J103)/(L103+M103-1)</f>
        <v>-0.20770571571694743</v>
      </c>
      <c r="O103" s="145">
        <f>1-N103</f>
        <v>1.2077057157169475</v>
      </c>
      <c r="P103" s="144">
        <f>+N103*M103/K103</f>
        <v>-0.33382353672621068</v>
      </c>
      <c r="Q103" s="144">
        <f>+O103*L103/J103</f>
        <v>1.0000000000000002</v>
      </c>
      <c r="R103" s="146">
        <f>+N103*M103+O103*L103</f>
        <v>0.17009215391829127</v>
      </c>
    </row>
    <row r="104" spans="2:18" x14ac:dyDescent="0.2">
      <c r="B104" s="118"/>
      <c r="C104" s="119" t="s">
        <v>48</v>
      </c>
      <c r="D104" s="120">
        <v>212</v>
      </c>
      <c r="E104" s="121">
        <v>225.72</v>
      </c>
      <c r="F104" s="122">
        <f t="shared" si="34"/>
        <v>0.12067877802846419</v>
      </c>
      <c r="G104" s="123">
        <f>SUM(E105:E$111)/$E$112</f>
        <v>0.53258091765485827</v>
      </c>
      <c r="H104" s="124">
        <f>SUM(F105:F111)*100</f>
        <v>53.25809176548583</v>
      </c>
      <c r="I104" s="116">
        <f>($I$207-H104)/($I$207*(100-H104))*10000</f>
        <v>-16.220733446296695</v>
      </c>
      <c r="J104" s="143">
        <f t="shared" si="35"/>
        <v>0.50495295679936714</v>
      </c>
      <c r="K104" s="143">
        <f t="shared" ref="K104:K110" si="36">1-J104</f>
        <v>0.49504704320063286</v>
      </c>
      <c r="L104" s="143">
        <f>SUM($F$101:F104)</f>
        <v>0.43350156649308713</v>
      </c>
      <c r="M104" s="143">
        <v>1</v>
      </c>
      <c r="N104" s="144">
        <f t="shared" ref="N104:N110" si="37">+(L104-J104)/(L104+M104-1)</f>
        <v>-0.16482383416582047</v>
      </c>
      <c r="O104" s="145">
        <f t="shared" ref="O104:O110" si="38">1-N104</f>
        <v>1.1648238341658206</v>
      </c>
      <c r="P104" s="144">
        <f t="shared" ref="P104:P110" si="39">+N104*M104/K104</f>
        <v>-0.33294580066610074</v>
      </c>
      <c r="Q104" s="144">
        <f t="shared" ref="Q104:Q110" si="40">+O104*L104/J104</f>
        <v>1</v>
      </c>
      <c r="R104" s="146">
        <f t="shared" ref="R104:R110" si="41">+N104*M104+O104*L104</f>
        <v>0.34012912263354667</v>
      </c>
    </row>
    <row r="105" spans="2:18" x14ac:dyDescent="0.2">
      <c r="B105" s="118"/>
      <c r="C105" s="119" t="s">
        <v>49</v>
      </c>
      <c r="D105" s="125">
        <v>180</v>
      </c>
      <c r="E105" s="126">
        <v>91.25</v>
      </c>
      <c r="F105" s="113">
        <f t="shared" si="34"/>
        <v>4.8785834197666834E-2</v>
      </c>
      <c r="G105" s="114">
        <f>SUM(E106:E$111)/$E$112</f>
        <v>0.48379508345719141</v>
      </c>
      <c r="J105" s="143">
        <f t="shared" si="35"/>
        <v>0.54538468058655665</v>
      </c>
      <c r="K105" s="143">
        <f t="shared" si="36"/>
        <v>0.45461531941344335</v>
      </c>
      <c r="L105" s="143">
        <f>SUM($F$101:F105)</f>
        <v>0.48228740069075399</v>
      </c>
      <c r="M105" s="143">
        <v>1</v>
      </c>
      <c r="N105" s="144">
        <f t="shared" si="37"/>
        <v>-0.13082921056082297</v>
      </c>
      <c r="O105" s="145">
        <f t="shared" si="38"/>
        <v>1.1308292105608229</v>
      </c>
      <c r="P105" s="144">
        <f t="shared" si="39"/>
        <v>-0.28778003066333591</v>
      </c>
      <c r="Q105" s="144">
        <f t="shared" si="40"/>
        <v>0.99999999999999978</v>
      </c>
      <c r="R105" s="146">
        <f t="shared" si="41"/>
        <v>0.41455547002573356</v>
      </c>
    </row>
    <row r="106" spans="2:18" x14ac:dyDescent="0.2">
      <c r="B106" s="118"/>
      <c r="C106" s="119" t="s">
        <v>50</v>
      </c>
      <c r="D106" s="125">
        <v>150</v>
      </c>
      <c r="E106" s="126">
        <v>101.9</v>
      </c>
      <c r="F106" s="113">
        <f t="shared" si="34"/>
        <v>5.4479742517723292E-2</v>
      </c>
      <c r="G106" s="114">
        <f>SUM(E107:E$111)/$E$112</f>
        <v>0.4293153409394681</v>
      </c>
      <c r="J106" s="143">
        <f t="shared" si="35"/>
        <v>0.60162744045432714</v>
      </c>
      <c r="K106" s="143">
        <f t="shared" si="36"/>
        <v>0.39837255954567286</v>
      </c>
      <c r="L106" s="143">
        <f>SUM($F$101:F106)</f>
        <v>0.53676714320847729</v>
      </c>
      <c r="M106" s="143">
        <v>1</v>
      </c>
      <c r="N106" s="144">
        <f t="shared" si="37"/>
        <v>-0.1208350735817272</v>
      </c>
      <c r="O106" s="145">
        <f t="shared" si="38"/>
        <v>1.1208350735817272</v>
      </c>
      <c r="P106" s="144">
        <f t="shared" si="39"/>
        <v>-0.30332177929005583</v>
      </c>
      <c r="Q106" s="144">
        <f t="shared" si="40"/>
        <v>1</v>
      </c>
      <c r="R106" s="146">
        <f t="shared" si="41"/>
        <v>0.48079236687259996</v>
      </c>
    </row>
    <row r="107" spans="2:18" x14ac:dyDescent="0.2">
      <c r="B107" s="118"/>
      <c r="C107" s="119" t="s">
        <v>51</v>
      </c>
      <c r="D107" s="125">
        <v>106</v>
      </c>
      <c r="E107" s="126">
        <v>169.67</v>
      </c>
      <c r="F107" s="113">
        <f t="shared" si="34"/>
        <v>9.0712246447321981E-2</v>
      </c>
      <c r="G107" s="114">
        <f>SUM(E108:E$111)/$E$112</f>
        <v>0.3386030944921461</v>
      </c>
      <c r="J107" s="143">
        <f t="shared" si="35"/>
        <v>0.69115926878196254</v>
      </c>
      <c r="K107" s="143">
        <f t="shared" si="36"/>
        <v>0.30884073121803746</v>
      </c>
      <c r="L107" s="143">
        <f>SUM($F$101:F107)</f>
        <v>0.6274793896557993</v>
      </c>
      <c r="M107" s="143">
        <v>1</v>
      </c>
      <c r="N107" s="144">
        <f t="shared" si="37"/>
        <v>-0.10148521238457653</v>
      </c>
      <c r="O107" s="145">
        <f t="shared" si="38"/>
        <v>1.1014852123845764</v>
      </c>
      <c r="P107" s="144">
        <f t="shared" si="39"/>
        <v>-0.32860047955568827</v>
      </c>
      <c r="Q107" s="144">
        <f t="shared" si="40"/>
        <v>0.99999999999999989</v>
      </c>
      <c r="R107" s="146">
        <f t="shared" si="41"/>
        <v>0.5896740563973859</v>
      </c>
    </row>
    <row r="108" spans="2:18" x14ac:dyDescent="0.2">
      <c r="B108" s="118"/>
      <c r="C108" s="119" t="s">
        <v>52</v>
      </c>
      <c r="D108" s="125">
        <v>75</v>
      </c>
      <c r="E108" s="126">
        <v>126.49</v>
      </c>
      <c r="F108" s="113">
        <f t="shared" si="34"/>
        <v>6.7626522385346596E-2</v>
      </c>
      <c r="G108" s="114">
        <f>SUM(E109:E$111)/$E$112</f>
        <v>0.27097657210679954</v>
      </c>
      <c r="J108" s="143">
        <f t="shared" si="35"/>
        <v>0.75288333851326539</v>
      </c>
      <c r="K108" s="143">
        <f t="shared" si="36"/>
        <v>0.24711666148673461</v>
      </c>
      <c r="L108" s="143">
        <f>SUM($F$101:F108)</f>
        <v>0.69510591204114591</v>
      </c>
      <c r="M108" s="143">
        <v>1</v>
      </c>
      <c r="N108" s="144">
        <f t="shared" si="37"/>
        <v>-8.3120320905426856E-2</v>
      </c>
      <c r="O108" s="145">
        <f t="shared" si="38"/>
        <v>1.0831203209054268</v>
      </c>
      <c r="P108" s="144">
        <f t="shared" si="39"/>
        <v>-0.33636065008869831</v>
      </c>
      <c r="Q108" s="144">
        <f t="shared" si="40"/>
        <v>0.99999999999999989</v>
      </c>
      <c r="R108" s="146">
        <f t="shared" si="41"/>
        <v>0.66976301760783841</v>
      </c>
    </row>
    <row r="109" spans="2:18" x14ac:dyDescent="0.2">
      <c r="B109" s="118"/>
      <c r="C109" s="119" t="s">
        <v>53</v>
      </c>
      <c r="D109" s="125">
        <v>53</v>
      </c>
      <c r="E109" s="126">
        <v>106.53</v>
      </c>
      <c r="F109" s="113">
        <f t="shared" si="34"/>
        <v>5.6955122378930932E-2</v>
      </c>
      <c r="G109" s="114">
        <f>SUM(E110:E$111)/$E$112</f>
        <v>0.2140214497278686</v>
      </c>
      <c r="J109" s="143">
        <f t="shared" si="35"/>
        <v>0.80600118667533138</v>
      </c>
      <c r="K109" s="143">
        <f t="shared" si="36"/>
        <v>0.19399881332466862</v>
      </c>
      <c r="L109" s="143">
        <f>SUM($F$101:F109)</f>
        <v>0.75206103442007688</v>
      </c>
      <c r="M109" s="143">
        <v>1</v>
      </c>
      <c r="N109" s="144">
        <f t="shared" si="37"/>
        <v>-7.1723104623879888E-2</v>
      </c>
      <c r="O109" s="145">
        <f t="shared" si="38"/>
        <v>1.07172310462388</v>
      </c>
      <c r="P109" s="144">
        <f t="shared" si="39"/>
        <v>-0.3697089863320297</v>
      </c>
      <c r="Q109" s="144">
        <f t="shared" si="40"/>
        <v>1.0000000000000002</v>
      </c>
      <c r="R109" s="146">
        <f t="shared" si="41"/>
        <v>0.73427808205145162</v>
      </c>
    </row>
    <row r="110" spans="2:18" x14ac:dyDescent="0.2">
      <c r="B110" s="118"/>
      <c r="C110" s="119" t="s">
        <v>54</v>
      </c>
      <c r="D110" s="125">
        <v>38</v>
      </c>
      <c r="E110" s="126">
        <v>37.92</v>
      </c>
      <c r="F110" s="113">
        <f t="shared" si="34"/>
        <v>2.0273521455074262E-2</v>
      </c>
      <c r="G110" s="114">
        <f>SUM(E111:E$111)/$E$112</f>
        <v>0.19374792827279433</v>
      </c>
      <c r="J110" s="143">
        <f t="shared" si="35"/>
        <v>0.83369027773853599</v>
      </c>
      <c r="K110" s="143">
        <f t="shared" si="36"/>
        <v>0.16630972226146401</v>
      </c>
      <c r="L110" s="143">
        <f>SUM($F$101:F110)</f>
        <v>0.7723345558751511</v>
      </c>
      <c r="M110" s="143">
        <v>1</v>
      </c>
      <c r="N110" s="144">
        <f t="shared" si="37"/>
        <v>-7.9441896515767357E-2</v>
      </c>
      <c r="O110" s="145">
        <f t="shared" si="38"/>
        <v>1.0794418965157673</v>
      </c>
      <c r="P110" s="144">
        <f t="shared" si="39"/>
        <v>-0.4776743983185342</v>
      </c>
      <c r="Q110" s="144">
        <f t="shared" si="40"/>
        <v>0.99999999999999989</v>
      </c>
      <c r="R110" s="146">
        <f t="shared" si="41"/>
        <v>0.75424838122276849</v>
      </c>
    </row>
    <row r="111" spans="2:18" x14ac:dyDescent="0.2">
      <c r="B111" s="127"/>
      <c r="C111" s="128">
        <v>-38</v>
      </c>
      <c r="D111" s="129"/>
      <c r="E111" s="130">
        <f>10.8+351.59</f>
        <v>362.39</v>
      </c>
      <c r="F111" s="113">
        <f t="shared" si="34"/>
        <v>0.19374792827279433</v>
      </c>
      <c r="G111" s="131"/>
    </row>
    <row r="112" spans="2:18" x14ac:dyDescent="0.2">
      <c r="B112" s="132"/>
      <c r="C112" s="133" t="s">
        <v>55</v>
      </c>
      <c r="D112" s="134"/>
      <c r="E112" s="135">
        <f>SUM(E100:E111)</f>
        <v>1870.42</v>
      </c>
      <c r="F112" s="136">
        <f t="shared" si="34"/>
        <v>1</v>
      </c>
      <c r="G112" s="135"/>
    </row>
    <row r="113" spans="2:11" x14ac:dyDescent="0.2">
      <c r="C113" s="137"/>
      <c r="D113" s="138"/>
      <c r="E113" s="139"/>
      <c r="F113" s="140"/>
      <c r="G113" s="139"/>
    </row>
    <row r="114" spans="2:11" x14ac:dyDescent="0.2">
      <c r="B114" s="153" t="s">
        <v>23</v>
      </c>
      <c r="C114" s="179" t="s">
        <v>24</v>
      </c>
      <c r="D114" s="179"/>
      <c r="E114" s="154" t="s">
        <v>25</v>
      </c>
      <c r="F114" s="155" t="s">
        <v>26</v>
      </c>
      <c r="G114" s="154" t="s">
        <v>27</v>
      </c>
    </row>
    <row r="115" spans="2:11" x14ac:dyDescent="0.2">
      <c r="B115" s="156" t="str">
        <f>B17</f>
        <v>SC-14 Combined U/S</v>
      </c>
      <c r="C115" s="157" t="s">
        <v>43</v>
      </c>
      <c r="D115" s="158">
        <v>1180</v>
      </c>
      <c r="E115" s="159">
        <v>0</v>
      </c>
      <c r="F115" s="113">
        <f t="shared" ref="F115:F127" si="42">E115/$E$127</f>
        <v>0</v>
      </c>
      <c r="G115" s="160">
        <f>SUM(E115:E$126)/$E$127</f>
        <v>1</v>
      </c>
    </row>
    <row r="116" spans="2:11" x14ac:dyDescent="0.2">
      <c r="B116" s="156" t="s">
        <v>44</v>
      </c>
      <c r="C116" s="111" t="s">
        <v>45</v>
      </c>
      <c r="D116" s="111">
        <v>600</v>
      </c>
      <c r="E116" s="159">
        <f>0.17+0.18</f>
        <v>0.35</v>
      </c>
      <c r="F116" s="113">
        <f t="shared" si="42"/>
        <v>2.9606821411653247E-4</v>
      </c>
      <c r="G116" s="114">
        <f>SUM(E117:E$126)/$E$127</f>
        <v>0.99970393178588357</v>
      </c>
    </row>
    <row r="117" spans="2:11" x14ac:dyDescent="0.2">
      <c r="B117" s="161">
        <f>FORECAST(0.8,D119:D120,G119:G120)</f>
        <v>191.81027953110907</v>
      </c>
      <c r="C117" s="111" t="s">
        <v>46</v>
      </c>
      <c r="D117" s="111">
        <v>425</v>
      </c>
      <c r="E117" s="112">
        <f>0.33+0.2</f>
        <v>0.53</v>
      </c>
      <c r="F117" s="113">
        <f t="shared" si="42"/>
        <v>4.4833186709074919E-4</v>
      </c>
      <c r="G117" s="114">
        <f>SUM(E118:E$126)/$E$127</f>
        <v>0.99925559991879265</v>
      </c>
    </row>
    <row r="118" spans="2:11" x14ac:dyDescent="0.2">
      <c r="B118" s="118"/>
      <c r="C118" s="111" t="s">
        <v>47</v>
      </c>
      <c r="D118" s="111">
        <v>300</v>
      </c>
      <c r="E118" s="112">
        <f>16.24+9.26</f>
        <v>25.5</v>
      </c>
      <c r="F118" s="113">
        <f t="shared" si="42"/>
        <v>2.1570684171347367E-2</v>
      </c>
      <c r="G118" s="114">
        <f>SUM(E119:E$126)/$E$127</f>
        <v>0.9776849157474452</v>
      </c>
    </row>
    <row r="119" spans="2:11" x14ac:dyDescent="0.2">
      <c r="B119" s="118"/>
      <c r="C119" s="119" t="s">
        <v>48</v>
      </c>
      <c r="D119" s="120">
        <v>212</v>
      </c>
      <c r="E119" s="120">
        <f>109.3+58.77</f>
        <v>168.07</v>
      </c>
      <c r="F119" s="122">
        <f t="shared" si="42"/>
        <v>0.1421719564187589</v>
      </c>
      <c r="G119" s="123">
        <f>SUM(E120:E$126)/$E$127</f>
        <v>0.83551295932868652</v>
      </c>
      <c r="H119" s="124">
        <f>SUM(F120:F126)*100</f>
        <v>83.551295932868655</v>
      </c>
      <c r="I119" s="116">
        <f>($I$207-H119)/($I$207*(100-H119))*10000</f>
        <v>-418.11474493255707</v>
      </c>
    </row>
    <row r="120" spans="2:11" x14ac:dyDescent="0.2">
      <c r="B120" s="118"/>
      <c r="C120" s="119" t="s">
        <v>49</v>
      </c>
      <c r="D120" s="125">
        <v>180</v>
      </c>
      <c r="E120" s="112">
        <f>43.29+23.25</f>
        <v>66.539999999999992</v>
      </c>
      <c r="F120" s="113">
        <f t="shared" si="42"/>
        <v>5.6286797049468769E-2</v>
      </c>
      <c r="G120" s="114">
        <f>SUM(E121:E$126)/$E$127</f>
        <v>0.77922616227921782</v>
      </c>
      <c r="K120" s="144"/>
    </row>
    <row r="121" spans="2:11" x14ac:dyDescent="0.2">
      <c r="B121" s="118"/>
      <c r="C121" s="119" t="s">
        <v>50</v>
      </c>
      <c r="D121" s="125">
        <v>150</v>
      </c>
      <c r="E121" s="126">
        <f>67.2+37.71</f>
        <v>104.91</v>
      </c>
      <c r="F121" s="113">
        <f t="shared" si="42"/>
        <v>8.874433240847264E-2</v>
      </c>
      <c r="G121" s="114">
        <f>SUM(E122:E$126)/$E$127</f>
        <v>0.69048182987074513</v>
      </c>
    </row>
    <row r="122" spans="2:11" x14ac:dyDescent="0.2">
      <c r="B122" s="118"/>
      <c r="C122" s="119" t="s">
        <v>51</v>
      </c>
      <c r="D122" s="125">
        <v>106</v>
      </c>
      <c r="E122" s="126">
        <f>116.88+62.45</f>
        <v>179.32999999999998</v>
      </c>
      <c r="F122" s="113">
        <f t="shared" si="42"/>
        <v>0.15169689382147933</v>
      </c>
      <c r="G122" s="114">
        <f>SUM(E123:E$126)/$E$127</f>
        <v>0.53878493604926581</v>
      </c>
    </row>
    <row r="123" spans="2:11" x14ac:dyDescent="0.2">
      <c r="B123" s="118"/>
      <c r="C123" s="119" t="s">
        <v>52</v>
      </c>
      <c r="D123" s="125">
        <v>75</v>
      </c>
      <c r="E123" s="126">
        <f>72.97+46.97</f>
        <v>119.94</v>
      </c>
      <c r="F123" s="113">
        <f t="shared" si="42"/>
        <v>0.10145834743181974</v>
      </c>
      <c r="G123" s="114">
        <f>SUM(E124:E$126)/$E$127</f>
        <v>0.43732658861744611</v>
      </c>
    </row>
    <row r="124" spans="2:11" x14ac:dyDescent="0.2">
      <c r="B124" s="118"/>
      <c r="C124" s="119" t="s">
        <v>53</v>
      </c>
      <c r="D124" s="125">
        <v>53</v>
      </c>
      <c r="E124" s="126">
        <f>69.82+43.34</f>
        <v>113.16</v>
      </c>
      <c r="F124" s="113">
        <f t="shared" si="42"/>
        <v>9.5723083169790904E-2</v>
      </c>
      <c r="G124" s="114">
        <f>SUM(E125:E$126)/$E$127</f>
        <v>0.34160350544765516</v>
      </c>
    </row>
    <row r="125" spans="2:11" x14ac:dyDescent="0.2">
      <c r="B125" s="118"/>
      <c r="C125" s="119" t="s">
        <v>54</v>
      </c>
      <c r="D125" s="125">
        <v>38</v>
      </c>
      <c r="E125" s="126">
        <f>36.84+27.09</f>
        <v>63.930000000000007</v>
      </c>
      <c r="F125" s="113">
        <f t="shared" si="42"/>
        <v>5.4078974081342643E-2</v>
      </c>
      <c r="G125" s="114">
        <f>SUM(E126:E$126)/$E$127</f>
        <v>0.28752453136631251</v>
      </c>
    </row>
    <row r="126" spans="2:11" x14ac:dyDescent="0.2">
      <c r="B126" s="127"/>
      <c r="C126" s="128">
        <v>-38</v>
      </c>
      <c r="D126" s="129"/>
      <c r="E126" s="126">
        <f>10.36+8.1+321.44</f>
        <v>339.9</v>
      </c>
      <c r="F126" s="113">
        <f t="shared" si="42"/>
        <v>0.28752453136631251</v>
      </c>
      <c r="G126" s="131"/>
    </row>
    <row r="127" spans="2:11" x14ac:dyDescent="0.2">
      <c r="B127" s="132"/>
      <c r="C127" s="133" t="s">
        <v>55</v>
      </c>
      <c r="D127" s="134"/>
      <c r="E127" s="135">
        <f>SUM(E115:E126)</f>
        <v>1182.1599999999999</v>
      </c>
      <c r="F127" s="136">
        <f t="shared" si="42"/>
        <v>1</v>
      </c>
      <c r="G127" s="135"/>
    </row>
    <row r="128" spans="2:11" x14ac:dyDescent="0.2">
      <c r="C128" s="137"/>
      <c r="D128" s="138"/>
      <c r="E128" s="139"/>
      <c r="F128" s="140"/>
      <c r="G128" s="139"/>
    </row>
    <row r="129" spans="2:18" x14ac:dyDescent="0.2">
      <c r="B129" s="162" t="s">
        <v>23</v>
      </c>
      <c r="C129" s="177" t="s">
        <v>24</v>
      </c>
      <c r="D129" s="178"/>
      <c r="E129" s="107" t="s">
        <v>25</v>
      </c>
      <c r="F129" s="108" t="s">
        <v>26</v>
      </c>
      <c r="G129" s="107" t="s">
        <v>27</v>
      </c>
    </row>
    <row r="130" spans="2:18" x14ac:dyDescent="0.2">
      <c r="B130" s="163" t="str">
        <f>+C17</f>
        <v>SC-014 O/S from deck1</v>
      </c>
      <c r="C130" s="110" t="s">
        <v>43</v>
      </c>
      <c r="D130" s="111">
        <v>1180</v>
      </c>
      <c r="E130" s="112">
        <f>101.5+89.68</f>
        <v>191.18</v>
      </c>
      <c r="F130" s="113">
        <f t="shared" ref="F130:F142" si="43">E130/$E$142</f>
        <v>9.4782453496212282E-2</v>
      </c>
      <c r="G130" s="114">
        <f>SUM(E131:E$141)/$E$142</f>
        <v>0.90521754650378783</v>
      </c>
    </row>
    <row r="131" spans="2:18" x14ac:dyDescent="0.2">
      <c r="B131" s="163" t="s">
        <v>44</v>
      </c>
      <c r="C131" s="111" t="s">
        <v>45</v>
      </c>
      <c r="D131" s="111">
        <v>600</v>
      </c>
      <c r="E131" s="112">
        <f>227.6+219.8</f>
        <v>447.4</v>
      </c>
      <c r="F131" s="113">
        <f t="shared" si="43"/>
        <v>0.22181017728949351</v>
      </c>
      <c r="G131" s="114">
        <f>SUM(E132:E$141)/$E$142</f>
        <v>0.68340736921429435</v>
      </c>
    </row>
    <row r="132" spans="2:18" x14ac:dyDescent="0.2">
      <c r="B132" s="164">
        <f>FORECAST(0.8,D130:D131,G130:G131)</f>
        <v>904.87206079570842</v>
      </c>
      <c r="C132" s="111" t="s">
        <v>46</v>
      </c>
      <c r="D132" s="111">
        <v>425</v>
      </c>
      <c r="E132" s="112">
        <f>207.78+209.69</f>
        <v>417.47</v>
      </c>
      <c r="F132" s="113">
        <f t="shared" si="43"/>
        <v>0.20697160195137432</v>
      </c>
      <c r="G132" s="114">
        <f>SUM(E133:E$141)/$E$142</f>
        <v>0.47643576726291992</v>
      </c>
    </row>
    <row r="133" spans="2:18" x14ac:dyDescent="0.2">
      <c r="B133" s="165"/>
      <c r="C133" s="111" t="s">
        <v>47</v>
      </c>
      <c r="D133" s="111">
        <v>300</v>
      </c>
      <c r="E133" s="112">
        <f>213.76+225.39</f>
        <v>439.15</v>
      </c>
      <c r="F133" s="113">
        <f t="shared" si="43"/>
        <v>0.21772002538373061</v>
      </c>
      <c r="G133" s="114">
        <f>SUM(E134:E$141)/$E$142</f>
        <v>0.25871574187918933</v>
      </c>
      <c r="H133" s="116"/>
      <c r="J133" s="143">
        <f>SUM($F$115:F118)</f>
        <v>2.231508425255465E-2</v>
      </c>
      <c r="K133" s="143">
        <f>1-J133</f>
        <v>0.97768491574744532</v>
      </c>
      <c r="L133" s="143">
        <f>SUM($F$130:F133)</f>
        <v>0.74128425812081067</v>
      </c>
      <c r="M133" s="143">
        <v>1</v>
      </c>
      <c r="N133" s="144">
        <f>+(L133-J133)/(L133+M133-1)</f>
        <v>0.96989672449118969</v>
      </c>
      <c r="O133" s="145">
        <f>1-N133</f>
        <v>3.0103275508810312E-2</v>
      </c>
      <c r="P133" s="144">
        <f>+N133*M133/K133</f>
        <v>0.99203404785037363</v>
      </c>
      <c r="Q133" s="144">
        <f>+O133*L133/J133</f>
        <v>1.0000000000000078</v>
      </c>
      <c r="R133" s="146">
        <f>+N133*M133+O133*L133</f>
        <v>0.99221180874374448</v>
      </c>
    </row>
    <row r="134" spans="2:18" x14ac:dyDescent="0.2">
      <c r="B134" s="118"/>
      <c r="C134" s="119" t="s">
        <v>48</v>
      </c>
      <c r="D134" s="120">
        <v>212</v>
      </c>
      <c r="E134" s="121">
        <f>88.49+98.61</f>
        <v>187.1</v>
      </c>
      <c r="F134" s="122">
        <f t="shared" si="43"/>
        <v>9.2759687462816806E-2</v>
      </c>
      <c r="G134" s="123">
        <f>SUM(E135:E$141)/$E$142</f>
        <v>0.16595605441637251</v>
      </c>
      <c r="H134" s="124">
        <f>SUM(F135:F141)*100</f>
        <v>16.59560544163725</v>
      </c>
      <c r="I134" s="116">
        <f>($I$207-H134)/($I$207*(100-H134))*10000</f>
        <v>79.704085926729704</v>
      </c>
      <c r="J134" s="143">
        <f>SUM($F$115:F119)</f>
        <v>0.16448704067131356</v>
      </c>
      <c r="K134" s="143">
        <f t="shared" ref="K134:K140" si="44">1-J134</f>
        <v>0.83551295932868641</v>
      </c>
      <c r="L134" s="143">
        <f>SUM($F$130:F134)</f>
        <v>0.83404394558362749</v>
      </c>
      <c r="M134" s="143">
        <v>1</v>
      </c>
      <c r="N134" s="144">
        <f t="shared" ref="N134:N140" si="45">+(L134-J134)/(L134+M134-1)</f>
        <v>0.80278372435613954</v>
      </c>
      <c r="O134" s="145">
        <f t="shared" ref="O134:O140" si="46">1-N134</f>
        <v>0.19721627564386046</v>
      </c>
      <c r="P134" s="144">
        <f t="shared" ref="P134:P140" si="47">+N134*M134/K134</f>
        <v>0.96082737603634061</v>
      </c>
      <c r="Q134" s="144">
        <f t="shared" ref="Q134:Q140" si="48">+O134*L134/J134</f>
        <v>1.0000000000000004</v>
      </c>
      <c r="R134" s="146">
        <f t="shared" ref="R134:R140" si="49">+N134*M134+O134*L134</f>
        <v>0.96727076502745324</v>
      </c>
    </row>
    <row r="135" spans="2:18" x14ac:dyDescent="0.2">
      <c r="B135" s="118"/>
      <c r="C135" s="119" t="s">
        <v>49</v>
      </c>
      <c r="D135" s="125">
        <v>180</v>
      </c>
      <c r="E135" s="126">
        <f>11.99+19.23</f>
        <v>31.22</v>
      </c>
      <c r="F135" s="113">
        <f t="shared" si="43"/>
        <v>1.5478126363383969E-2</v>
      </c>
      <c r="G135" s="114">
        <f>SUM(E136:E$141)/$E$142</f>
        <v>0.15047792805298854</v>
      </c>
      <c r="J135" s="143">
        <f>SUM($F$115:F120)</f>
        <v>0.22077383772078232</v>
      </c>
      <c r="K135" s="143">
        <f t="shared" si="44"/>
        <v>0.7792261622792177</v>
      </c>
      <c r="L135" s="143">
        <f>SUM($F$130:F135)</f>
        <v>0.84952207194701146</v>
      </c>
      <c r="M135" s="143">
        <v>1</v>
      </c>
      <c r="N135" s="144">
        <f t="shared" si="45"/>
        <v>0.74011995095690364</v>
      </c>
      <c r="O135" s="145">
        <f t="shared" si="46"/>
        <v>0.25988004904309636</v>
      </c>
      <c r="P135" s="144">
        <f t="shared" si="47"/>
        <v>0.94981404216725818</v>
      </c>
      <c r="Q135" s="144">
        <f t="shared" si="48"/>
        <v>0.99999999999999933</v>
      </c>
      <c r="R135" s="146">
        <f t="shared" si="49"/>
        <v>0.96089378867768582</v>
      </c>
    </row>
    <row r="136" spans="2:18" x14ac:dyDescent="0.2">
      <c r="B136" s="118"/>
      <c r="C136" s="119" t="s">
        <v>50</v>
      </c>
      <c r="D136" s="125">
        <v>150</v>
      </c>
      <c r="E136" s="126">
        <f>17.02+18.03</f>
        <v>35.049999999999997</v>
      </c>
      <c r="F136" s="113">
        <f t="shared" si="43"/>
        <v>1.7376948399635109E-2</v>
      </c>
      <c r="G136" s="114">
        <f>SUM(E137:E$141)/$E$142</f>
        <v>0.13310097965335344</v>
      </c>
      <c r="J136" s="143">
        <f>SUM($F$115:F121)</f>
        <v>0.30951817012925498</v>
      </c>
      <c r="K136" s="143">
        <f t="shared" si="44"/>
        <v>0.69048182987074502</v>
      </c>
      <c r="L136" s="143">
        <f>SUM($F$130:F136)</f>
        <v>0.86689902034664656</v>
      </c>
      <c r="M136" s="143">
        <v>1</v>
      </c>
      <c r="N136" s="144">
        <f t="shared" si="45"/>
        <v>0.64295937258587721</v>
      </c>
      <c r="O136" s="145">
        <f t="shared" si="46"/>
        <v>0.35704062741412279</v>
      </c>
      <c r="P136" s="144">
        <f t="shared" si="47"/>
        <v>0.93117493432989573</v>
      </c>
      <c r="Q136" s="144">
        <f t="shared" si="48"/>
        <v>1.0000000000000004</v>
      </c>
      <c r="R136" s="146">
        <f t="shared" si="49"/>
        <v>0.9524775427151323</v>
      </c>
    </row>
    <row r="137" spans="2:18" x14ac:dyDescent="0.2">
      <c r="B137" s="118"/>
      <c r="C137" s="119" t="s">
        <v>51</v>
      </c>
      <c r="D137" s="125">
        <v>106</v>
      </c>
      <c r="E137" s="126">
        <v>47.69</v>
      </c>
      <c r="F137" s="113">
        <f t="shared" si="43"/>
        <v>2.3643556895252448E-2</v>
      </c>
      <c r="G137" s="114">
        <f>SUM(E138:E$141)/$E$142</f>
        <v>0.10945742275810097</v>
      </c>
      <c r="J137" s="143">
        <f>SUM($F$115:F122)</f>
        <v>0.46121506395073431</v>
      </c>
      <c r="K137" s="143">
        <f t="shared" si="44"/>
        <v>0.53878493604926569</v>
      </c>
      <c r="L137" s="143">
        <f>SUM($F$130:F137)</f>
        <v>0.890542577241899</v>
      </c>
      <c r="M137" s="143">
        <v>1</v>
      </c>
      <c r="N137" s="144">
        <f t="shared" si="45"/>
        <v>0.4820965603024121</v>
      </c>
      <c r="O137" s="145">
        <f t="shared" si="46"/>
        <v>0.5179034396975879</v>
      </c>
      <c r="P137" s="144">
        <f t="shared" si="47"/>
        <v>0.8947847796886621</v>
      </c>
      <c r="Q137" s="144">
        <f t="shared" si="48"/>
        <v>1.0000000000000002</v>
      </c>
      <c r="R137" s="146">
        <f t="shared" si="49"/>
        <v>0.94331162425314652</v>
      </c>
    </row>
    <row r="138" spans="2:18" x14ac:dyDescent="0.2">
      <c r="B138" s="118"/>
      <c r="C138" s="119" t="s">
        <v>52</v>
      </c>
      <c r="D138" s="125">
        <v>75</v>
      </c>
      <c r="E138" s="126">
        <v>30.16</v>
      </c>
      <c r="F138" s="113">
        <f t="shared" si="43"/>
        <v>1.4952603815492009E-2</v>
      </c>
      <c r="G138" s="114">
        <f>SUM(E139:E$141)/$E$142</f>
        <v>9.4504818942608981E-2</v>
      </c>
      <c r="J138" s="143">
        <f>SUM($F$115:F123)</f>
        <v>0.562673411382554</v>
      </c>
      <c r="K138" s="143">
        <f t="shared" si="44"/>
        <v>0.437326588617446</v>
      </c>
      <c r="L138" s="143">
        <f>SUM($F$130:F138)</f>
        <v>0.90549518105739102</v>
      </c>
      <c r="M138" s="143">
        <v>1</v>
      </c>
      <c r="N138" s="144">
        <f t="shared" si="45"/>
        <v>0.37860142919204415</v>
      </c>
      <c r="O138" s="145">
        <f t="shared" si="46"/>
        <v>0.62139857080795591</v>
      </c>
      <c r="P138" s="144">
        <f t="shared" si="47"/>
        <v>0.86571783890146214</v>
      </c>
      <c r="Q138" s="144">
        <f t="shared" si="48"/>
        <v>1</v>
      </c>
      <c r="R138" s="146">
        <f t="shared" si="49"/>
        <v>0.94127484057459809</v>
      </c>
    </row>
    <row r="139" spans="2:18" x14ac:dyDescent="0.2">
      <c r="B139" s="118"/>
      <c r="C139" s="119" t="s">
        <v>53</v>
      </c>
      <c r="D139" s="125">
        <v>53</v>
      </c>
      <c r="E139" s="126">
        <v>30.71</v>
      </c>
      <c r="F139" s="113">
        <f t="shared" si="43"/>
        <v>1.5225280609209536E-2</v>
      </c>
      <c r="G139" s="114">
        <f>SUM(E140:E$141)/$E$142</f>
        <v>7.927953833339943E-2</v>
      </c>
      <c r="J139" s="143">
        <f>SUM($F$115:F124)</f>
        <v>0.65839649455234495</v>
      </c>
      <c r="K139" s="143">
        <f t="shared" si="44"/>
        <v>0.34160350544765505</v>
      </c>
      <c r="L139" s="143">
        <f>SUM($F$130:F139)</f>
        <v>0.9207204616666006</v>
      </c>
      <c r="M139" s="143">
        <v>1</v>
      </c>
      <c r="N139" s="144">
        <f t="shared" si="45"/>
        <v>0.28491162957258681</v>
      </c>
      <c r="O139" s="145">
        <f t="shared" si="46"/>
        <v>0.71508837042741313</v>
      </c>
      <c r="P139" s="144">
        <f t="shared" si="47"/>
        <v>0.83404187904694871</v>
      </c>
      <c r="Q139" s="144">
        <f t="shared" si="48"/>
        <v>1</v>
      </c>
      <c r="R139" s="146">
        <f t="shared" si="49"/>
        <v>0.9433081241249317</v>
      </c>
    </row>
    <row r="140" spans="2:18" x14ac:dyDescent="0.2">
      <c r="B140" s="118"/>
      <c r="C140" s="119" t="s">
        <v>54</v>
      </c>
      <c r="D140" s="125">
        <v>38</v>
      </c>
      <c r="E140" s="126">
        <v>22.74</v>
      </c>
      <c r="F140" s="113">
        <f t="shared" si="43"/>
        <v>1.1273945980248284E-2</v>
      </c>
      <c r="G140" s="114">
        <f>SUM(E141:E$141)/$E$142</f>
        <v>6.8005592353151151E-2</v>
      </c>
      <c r="J140" s="143">
        <f>SUM($F$115:F125)</f>
        <v>0.7124754686336876</v>
      </c>
      <c r="K140" s="143">
        <f t="shared" si="44"/>
        <v>0.2875245313663124</v>
      </c>
      <c r="L140" s="143">
        <f>SUM($F$130:F140)</f>
        <v>0.93199440764684893</v>
      </c>
      <c r="M140" s="143">
        <v>1</v>
      </c>
      <c r="N140" s="144">
        <f t="shared" si="45"/>
        <v>0.23553675559858228</v>
      </c>
      <c r="O140" s="145">
        <f t="shared" si="46"/>
        <v>0.76446324440141766</v>
      </c>
      <c r="P140" s="144">
        <f t="shared" si="47"/>
        <v>0.81918838187237464</v>
      </c>
      <c r="Q140" s="144">
        <f t="shared" si="48"/>
        <v>1</v>
      </c>
      <c r="R140" s="146">
        <f t="shared" si="49"/>
        <v>0.94801222423226994</v>
      </c>
    </row>
    <row r="141" spans="2:18" x14ac:dyDescent="0.2">
      <c r="B141" s="127"/>
      <c r="C141" s="128">
        <v>-38</v>
      </c>
      <c r="D141" s="129"/>
      <c r="E141" s="130">
        <f>8.95+128.22</f>
        <v>137.16999999999999</v>
      </c>
      <c r="F141" s="113">
        <f t="shared" si="43"/>
        <v>6.8005592353151151E-2</v>
      </c>
      <c r="G141" s="131"/>
    </row>
    <row r="142" spans="2:18" x14ac:dyDescent="0.2">
      <c r="B142" s="132"/>
      <c r="C142" s="133" t="s">
        <v>55</v>
      </c>
      <c r="D142" s="134"/>
      <c r="E142" s="135">
        <f>SUM(E130:E141)</f>
        <v>2017.04</v>
      </c>
      <c r="F142" s="136">
        <f t="shared" si="43"/>
        <v>1</v>
      </c>
      <c r="G142" s="135"/>
    </row>
    <row r="143" spans="2:18" x14ac:dyDescent="0.2">
      <c r="C143" s="137"/>
      <c r="D143" s="138"/>
      <c r="E143" s="139"/>
      <c r="F143" s="140"/>
      <c r="G143" s="139"/>
    </row>
    <row r="144" spans="2:18" x14ac:dyDescent="0.2">
      <c r="B144" s="162" t="s">
        <v>23</v>
      </c>
      <c r="C144" s="177" t="s">
        <v>24</v>
      </c>
      <c r="D144" s="178"/>
      <c r="E144" s="107" t="s">
        <v>25</v>
      </c>
      <c r="F144" s="108" t="s">
        <v>26</v>
      </c>
      <c r="G144" s="107" t="s">
        <v>27</v>
      </c>
    </row>
    <row r="145" spans="2:18" x14ac:dyDescent="0.2">
      <c r="B145" s="163" t="str">
        <f>+D17</f>
        <v>SC-014 O/S from deck2</v>
      </c>
      <c r="C145" s="110" t="s">
        <v>43</v>
      </c>
      <c r="D145" s="111">
        <v>1180</v>
      </c>
      <c r="E145" s="112">
        <f>155.4+141.4</f>
        <v>296.8</v>
      </c>
      <c r="F145" s="113">
        <f t="shared" ref="F145:F157" si="50">E145/$E$157</f>
        <v>9.4757678309175655E-2</v>
      </c>
      <c r="G145" s="114">
        <f>SUM(E146:E$156)/$E$157</f>
        <v>0.90524232169082441</v>
      </c>
    </row>
    <row r="146" spans="2:18" x14ac:dyDescent="0.2">
      <c r="B146" s="163" t="s">
        <v>44</v>
      </c>
      <c r="C146" s="111" t="s">
        <v>45</v>
      </c>
      <c r="D146" s="111">
        <v>600</v>
      </c>
      <c r="E146" s="112">
        <f>370.21+347.61</f>
        <v>717.81999999999994</v>
      </c>
      <c r="F146" s="113">
        <f t="shared" si="50"/>
        <v>0.22917438222335734</v>
      </c>
      <c r="G146" s="114">
        <f>SUM(E147:E$156)/$E$157</f>
        <v>0.67606793946746702</v>
      </c>
    </row>
    <row r="147" spans="2:18" x14ac:dyDescent="0.2">
      <c r="B147" s="164">
        <f>FORECAST(0.8,D145:D146,G145:G146)</f>
        <v>913.65021871778436</v>
      </c>
      <c r="C147" s="111" t="s">
        <v>46</v>
      </c>
      <c r="D147" s="111">
        <v>425</v>
      </c>
      <c r="E147" s="112">
        <f>347.48+327.6</f>
        <v>675.08</v>
      </c>
      <c r="F147" s="113">
        <f t="shared" si="50"/>
        <v>0.21552902113530426</v>
      </c>
      <c r="G147" s="114">
        <f>SUM(E148:E$156)/$E$157</f>
        <v>0.46053891833216265</v>
      </c>
    </row>
    <row r="148" spans="2:18" x14ac:dyDescent="0.2">
      <c r="B148" s="118"/>
      <c r="C148" s="111" t="s">
        <v>47</v>
      </c>
      <c r="D148" s="111">
        <v>300</v>
      </c>
      <c r="E148" s="112">
        <f>328.6+324.13</f>
        <v>652.73</v>
      </c>
      <c r="F148" s="113">
        <f t="shared" si="50"/>
        <v>0.20839346146478513</v>
      </c>
      <c r="G148" s="114">
        <f>SUM(E149:E$156)/$E$157</f>
        <v>0.25214545686737755</v>
      </c>
      <c r="H148" s="116"/>
      <c r="J148" s="143">
        <f t="shared" ref="J148:J155" si="51">J133</f>
        <v>2.231508425255465E-2</v>
      </c>
      <c r="K148" s="143">
        <f>1-J148</f>
        <v>0.97768491574744532</v>
      </c>
      <c r="L148" s="143">
        <f>SUM($F$145:F148)</f>
        <v>0.74785454313262234</v>
      </c>
      <c r="M148" s="143">
        <v>1</v>
      </c>
      <c r="N148" s="144">
        <f>+(L148-J148)/(L148+M148-1)</f>
        <v>0.97016119717735372</v>
      </c>
      <c r="O148" s="145">
        <f>1-N148</f>
        <v>2.9838802822646282E-2</v>
      </c>
      <c r="P148" s="144">
        <f>+N148*M148/K148</f>
        <v>0.99230455697034081</v>
      </c>
      <c r="Q148" s="144">
        <f>+O148*L148/J148</f>
        <v>0.999999999999995</v>
      </c>
      <c r="R148" s="146">
        <f>+N148*M148+O148*L148</f>
        <v>0.99247628142990829</v>
      </c>
    </row>
    <row r="149" spans="2:18" x14ac:dyDescent="0.2">
      <c r="B149" s="118"/>
      <c r="C149" s="119" t="s">
        <v>48</v>
      </c>
      <c r="D149" s="120">
        <v>212</v>
      </c>
      <c r="E149" s="121">
        <f>143.26+155.12</f>
        <v>298.38</v>
      </c>
      <c r="F149" s="122">
        <f t="shared" si="50"/>
        <v>9.5262116084541201E-2</v>
      </c>
      <c r="G149" s="123">
        <f>SUM(E150:E$156)/$E$157</f>
        <v>0.15688334078283633</v>
      </c>
      <c r="H149" s="124">
        <f>SUM(F150:F156)*100</f>
        <v>15.688334078283633</v>
      </c>
      <c r="I149" s="116">
        <f>($I$207-H149)/($I$207*(100-H149))*10000</f>
        <v>81.02011367724991</v>
      </c>
      <c r="J149" s="143">
        <f t="shared" si="51"/>
        <v>0.16448704067131356</v>
      </c>
      <c r="K149" s="143">
        <f t="shared" ref="K149:K155" si="52">1-J149</f>
        <v>0.83551295932868641</v>
      </c>
      <c r="L149" s="143">
        <f>SUM($F$145:F149)</f>
        <v>0.8431166592171635</v>
      </c>
      <c r="M149" s="143">
        <v>1</v>
      </c>
      <c r="N149" s="144">
        <f t="shared" ref="N149:N155" si="53">+(L149-J149)/(L149+M149-1)</f>
        <v>0.80490595355565586</v>
      </c>
      <c r="O149" s="145">
        <f t="shared" ref="O149:O155" si="54">1-N149</f>
        <v>0.19509404644434414</v>
      </c>
      <c r="P149" s="144">
        <f t="shared" ref="P149:P155" si="55">+N149*M149/K149</f>
        <v>0.96336740749344874</v>
      </c>
      <c r="Q149" s="144">
        <f t="shared" ref="Q149:Q155" si="56">+O149*L149/J149</f>
        <v>1</v>
      </c>
      <c r="R149" s="146">
        <f t="shared" ref="R149:R155" si="57">+N149*M149+O149*L149</f>
        <v>0.96939299422696945</v>
      </c>
    </row>
    <row r="150" spans="2:18" x14ac:dyDescent="0.2">
      <c r="B150" s="118"/>
      <c r="C150" s="119" t="s">
        <v>49</v>
      </c>
      <c r="D150" s="125">
        <v>180</v>
      </c>
      <c r="E150" s="126">
        <f>31.19+32.7</f>
        <v>63.89</v>
      </c>
      <c r="F150" s="113">
        <f t="shared" si="50"/>
        <v>2.0397803460826255E-2</v>
      </c>
      <c r="G150" s="114">
        <f>SUM(E151:E$156)/$E$157</f>
        <v>0.13648553732201008</v>
      </c>
      <c r="J150" s="143">
        <f t="shared" si="51"/>
        <v>0.22077383772078232</v>
      </c>
      <c r="K150" s="143">
        <f t="shared" si="52"/>
        <v>0.7792261622792177</v>
      </c>
      <c r="L150" s="143">
        <f>SUM($F$145:F150)</f>
        <v>0.8635144626779897</v>
      </c>
      <c r="M150" s="143">
        <v>1</v>
      </c>
      <c r="N150" s="144">
        <f t="shared" si="53"/>
        <v>0.74433104798719485</v>
      </c>
      <c r="O150" s="145">
        <f t="shared" si="54"/>
        <v>0.25566895201280515</v>
      </c>
      <c r="P150" s="144">
        <f t="shared" si="55"/>
        <v>0.95521824602249561</v>
      </c>
      <c r="Q150" s="144">
        <f t="shared" si="56"/>
        <v>0.99999999999999933</v>
      </c>
      <c r="R150" s="146">
        <f t="shared" si="57"/>
        <v>0.96510488570797703</v>
      </c>
    </row>
    <row r="151" spans="2:18" x14ac:dyDescent="0.2">
      <c r="B151" s="118"/>
      <c r="C151" s="119" t="s">
        <v>50</v>
      </c>
      <c r="D151" s="125">
        <v>150</v>
      </c>
      <c r="E151" s="126">
        <f>26.8+32.81</f>
        <v>59.61</v>
      </c>
      <c r="F151" s="113">
        <f t="shared" si="50"/>
        <v>1.9031351765532212E-2</v>
      </c>
      <c r="G151" s="114">
        <f>SUM(E152:E$156)/$E$157</f>
        <v>0.11745418555647787</v>
      </c>
      <c r="J151" s="143">
        <f t="shared" si="51"/>
        <v>0.30951817012925498</v>
      </c>
      <c r="K151" s="143">
        <f t="shared" si="52"/>
        <v>0.69048182987074502</v>
      </c>
      <c r="L151" s="143">
        <f>SUM($F$145:F151)</f>
        <v>0.88254581444352187</v>
      </c>
      <c r="M151" s="143">
        <v>1</v>
      </c>
      <c r="N151" s="144">
        <f t="shared" si="53"/>
        <v>0.64928940224545995</v>
      </c>
      <c r="O151" s="145">
        <f t="shared" si="54"/>
        <v>0.35071059775454005</v>
      </c>
      <c r="P151" s="144">
        <f t="shared" si="55"/>
        <v>0.94034248861697622</v>
      </c>
      <c r="Q151" s="144">
        <f t="shared" si="56"/>
        <v>0.99999999999999978</v>
      </c>
      <c r="R151" s="146">
        <f t="shared" si="57"/>
        <v>0.95880757237471492</v>
      </c>
    </row>
    <row r="152" spans="2:18" x14ac:dyDescent="0.2">
      <c r="B152" s="118"/>
      <c r="C152" s="119" t="s">
        <v>51</v>
      </c>
      <c r="D152" s="125">
        <v>106</v>
      </c>
      <c r="E152" s="150">
        <v>79.94</v>
      </c>
      <c r="F152" s="113">
        <f t="shared" si="50"/>
        <v>2.5521997318178911E-2</v>
      </c>
      <c r="G152" s="114">
        <f>SUM(E153:E$156)/$E$157</f>
        <v>9.1932188238298948E-2</v>
      </c>
      <c r="J152" s="143">
        <f t="shared" si="51"/>
        <v>0.46121506395073431</v>
      </c>
      <c r="K152" s="143">
        <f t="shared" si="52"/>
        <v>0.53878493604926569</v>
      </c>
      <c r="L152" s="143">
        <f>SUM($F$145:F152)</f>
        <v>0.90806781176170082</v>
      </c>
      <c r="M152" s="143">
        <v>1</v>
      </c>
      <c r="N152" s="144">
        <f t="shared" si="53"/>
        <v>0.49209182620849412</v>
      </c>
      <c r="O152" s="145">
        <f t="shared" si="54"/>
        <v>0.50790817379150588</v>
      </c>
      <c r="P152" s="144">
        <f t="shared" si="55"/>
        <v>0.91333627442675569</v>
      </c>
      <c r="Q152" s="144">
        <f t="shared" si="56"/>
        <v>1.0000000000000002</v>
      </c>
      <c r="R152" s="146">
        <f t="shared" si="57"/>
        <v>0.95330689015922854</v>
      </c>
    </row>
    <row r="153" spans="2:18" x14ac:dyDescent="0.2">
      <c r="B153" s="118"/>
      <c r="C153" s="119" t="s">
        <v>52</v>
      </c>
      <c r="D153" s="125">
        <v>75</v>
      </c>
      <c r="E153" s="126">
        <v>48.92</v>
      </c>
      <c r="F153" s="113">
        <f t="shared" si="50"/>
        <v>1.561841517144499E-2</v>
      </c>
      <c r="G153" s="114">
        <f>SUM(E154:E$156)/$E$157</f>
        <v>7.6313773066853968E-2</v>
      </c>
      <c r="J153" s="143">
        <f t="shared" si="51"/>
        <v>0.562673411382554</v>
      </c>
      <c r="K153" s="143">
        <f t="shared" si="52"/>
        <v>0.437326588617446</v>
      </c>
      <c r="L153" s="143">
        <f>SUM($F$145:F153)</f>
        <v>0.92368622693314584</v>
      </c>
      <c r="M153" s="143">
        <v>1</v>
      </c>
      <c r="N153" s="144">
        <f t="shared" si="53"/>
        <v>0.39083923200764698</v>
      </c>
      <c r="O153" s="145">
        <f t="shared" si="54"/>
        <v>0.60916076799235297</v>
      </c>
      <c r="P153" s="144">
        <f t="shared" si="55"/>
        <v>0.89370105129723976</v>
      </c>
      <c r="Q153" s="144">
        <f t="shared" si="56"/>
        <v>1</v>
      </c>
      <c r="R153" s="146">
        <f t="shared" si="57"/>
        <v>0.95351264339020103</v>
      </c>
    </row>
    <row r="154" spans="2:18" x14ac:dyDescent="0.2">
      <c r="B154" s="118"/>
      <c r="C154" s="119" t="s">
        <v>53</v>
      </c>
      <c r="D154" s="125">
        <v>53</v>
      </c>
      <c r="E154" s="126">
        <v>46.63</v>
      </c>
      <c r="F154" s="113">
        <f t="shared" si="50"/>
        <v>1.4887299661579719E-2</v>
      </c>
      <c r="G154" s="114">
        <f>SUM(E155:E$156)/$E$157</f>
        <v>6.1426473405274233E-2</v>
      </c>
      <c r="J154" s="143">
        <f t="shared" si="51"/>
        <v>0.65839649455234495</v>
      </c>
      <c r="K154" s="143">
        <f t="shared" si="52"/>
        <v>0.34160350544765505</v>
      </c>
      <c r="L154" s="143">
        <f>SUM($F$145:F154)</f>
        <v>0.93857352659472559</v>
      </c>
      <c r="M154" s="143">
        <v>1</v>
      </c>
      <c r="N154" s="144">
        <f t="shared" si="53"/>
        <v>0.29851367431905057</v>
      </c>
      <c r="O154" s="145">
        <f t="shared" si="54"/>
        <v>0.70148632568094937</v>
      </c>
      <c r="P154" s="144">
        <f t="shared" si="55"/>
        <v>0.87386010260012603</v>
      </c>
      <c r="Q154" s="144">
        <f t="shared" si="56"/>
        <v>0.99999999999999978</v>
      </c>
      <c r="R154" s="146">
        <f t="shared" si="57"/>
        <v>0.95691016887139546</v>
      </c>
    </row>
    <row r="155" spans="2:18" x14ac:dyDescent="0.2">
      <c r="B155" s="118"/>
      <c r="C155" s="119" t="s">
        <v>54</v>
      </c>
      <c r="D155" s="125">
        <v>38</v>
      </c>
      <c r="E155" s="126">
        <v>36.58</v>
      </c>
      <c r="F155" s="113">
        <f t="shared" si="50"/>
        <v>1.1678692292957026E-2</v>
      </c>
      <c r="G155" s="114">
        <f>SUM(E156:E$156)/$E$157</f>
        <v>4.9747781112317216E-2</v>
      </c>
      <c r="J155" s="143">
        <f t="shared" si="51"/>
        <v>0.7124754686336876</v>
      </c>
      <c r="K155" s="143">
        <f t="shared" si="52"/>
        <v>0.2875245313663124</v>
      </c>
      <c r="L155" s="143">
        <f>SUM($F$145:F155)</f>
        <v>0.95025221888768263</v>
      </c>
      <c r="M155" s="143">
        <v>1</v>
      </c>
      <c r="N155" s="144">
        <f t="shared" si="53"/>
        <v>0.25022488296036238</v>
      </c>
      <c r="O155" s="145">
        <f t="shared" si="54"/>
        <v>0.74977511703963762</v>
      </c>
      <c r="P155" s="144">
        <f t="shared" si="55"/>
        <v>0.87027316163701707</v>
      </c>
      <c r="Q155" s="144">
        <f t="shared" si="56"/>
        <v>1</v>
      </c>
      <c r="R155" s="146">
        <f t="shared" si="57"/>
        <v>0.96270035159404999</v>
      </c>
    </row>
    <row r="156" spans="2:18" x14ac:dyDescent="0.2">
      <c r="B156" s="127"/>
      <c r="C156" s="128">
        <v>-38</v>
      </c>
      <c r="D156" s="129"/>
      <c r="E156" s="130">
        <f>6.47+149.35</f>
        <v>155.82</v>
      </c>
      <c r="F156" s="113">
        <f t="shared" si="50"/>
        <v>4.9747781112317216E-2</v>
      </c>
      <c r="G156" s="131"/>
      <c r="J156" s="143"/>
    </row>
    <row r="157" spans="2:18" x14ac:dyDescent="0.2">
      <c r="B157" s="132"/>
      <c r="C157" s="133" t="s">
        <v>55</v>
      </c>
      <c r="D157" s="134"/>
      <c r="E157" s="135">
        <f>SUM(E145:E156)</f>
        <v>3132.2000000000003</v>
      </c>
      <c r="F157" s="136">
        <f t="shared" si="50"/>
        <v>1</v>
      </c>
      <c r="G157" s="135"/>
      <c r="J157" s="143"/>
    </row>
    <row r="158" spans="2:18" x14ac:dyDescent="0.2">
      <c r="C158" s="137"/>
      <c r="D158" s="138"/>
      <c r="E158" s="139"/>
      <c r="F158" s="140"/>
      <c r="G158" s="139"/>
      <c r="J158" s="143"/>
    </row>
    <row r="159" spans="2:18" x14ac:dyDescent="0.2">
      <c r="B159" s="162" t="s">
        <v>23</v>
      </c>
      <c r="C159" s="177" t="s">
        <v>24</v>
      </c>
      <c r="D159" s="178"/>
      <c r="E159" s="107" t="s">
        <v>25</v>
      </c>
      <c r="F159" s="108" t="s">
        <v>26</v>
      </c>
      <c r="G159" s="107" t="s">
        <v>27</v>
      </c>
      <c r="J159" s="143"/>
    </row>
    <row r="160" spans="2:18" x14ac:dyDescent="0.2">
      <c r="B160" s="163" t="str">
        <f>+E17</f>
        <v>SC-014 O/S from deck3</v>
      </c>
      <c r="C160" s="110" t="s">
        <v>43</v>
      </c>
      <c r="D160" s="111">
        <v>1180</v>
      </c>
      <c r="E160" s="112">
        <f>65.71+86</f>
        <v>151.70999999999998</v>
      </c>
      <c r="F160" s="113">
        <f t="shared" ref="F160:F172" si="58">E160/$E$172</f>
        <v>8.0862404391972925E-2</v>
      </c>
      <c r="G160" s="114">
        <f>SUM(E161:E$171)/$E$172</f>
        <v>0.91913759560802732</v>
      </c>
      <c r="J160" s="143"/>
    </row>
    <row r="161" spans="2:18" x14ac:dyDescent="0.2">
      <c r="B161" s="163" t="s">
        <v>44</v>
      </c>
      <c r="C161" s="111" t="s">
        <v>45</v>
      </c>
      <c r="D161" s="111">
        <v>600</v>
      </c>
      <c r="E161" s="112">
        <f>179.46+248.91</f>
        <v>428.37</v>
      </c>
      <c r="F161" s="113">
        <f t="shared" si="58"/>
        <v>0.22832396130373375</v>
      </c>
      <c r="G161" s="114">
        <f>SUM(E162:E$171)/$E$172</f>
        <v>0.69081363430429332</v>
      </c>
      <c r="J161" s="143"/>
    </row>
    <row r="162" spans="2:18" x14ac:dyDescent="0.2">
      <c r="B162" s="164">
        <f>FORECAST(0.8,D160:D161,G160:G161)</f>
        <v>877.36069285897679</v>
      </c>
      <c r="C162" s="111" t="s">
        <v>46</v>
      </c>
      <c r="D162" s="111">
        <v>425</v>
      </c>
      <c r="E162" s="112">
        <f>195.86+257.67</f>
        <v>453.53000000000003</v>
      </c>
      <c r="F162" s="113">
        <f t="shared" si="58"/>
        <v>0.241734402899555</v>
      </c>
      <c r="G162" s="114">
        <f>SUM(E163:E$171)/$E$172</f>
        <v>0.44907923140473849</v>
      </c>
      <c r="J162" s="143"/>
    </row>
    <row r="163" spans="2:18" x14ac:dyDescent="0.2">
      <c r="B163" s="118"/>
      <c r="C163" s="111" t="s">
        <v>47</v>
      </c>
      <c r="D163" s="111">
        <v>300</v>
      </c>
      <c r="E163" s="112">
        <f>204.65+261.81</f>
        <v>466.46000000000004</v>
      </c>
      <c r="F163" s="113">
        <f t="shared" si="58"/>
        <v>0.24862617594542022</v>
      </c>
      <c r="G163" s="114">
        <f>SUM(E164:E$171)/$E$172</f>
        <v>0.20045305545931832</v>
      </c>
      <c r="H163" s="116"/>
      <c r="J163" s="143">
        <f t="shared" ref="J163:J170" si="59">J148</f>
        <v>2.231508425255465E-2</v>
      </c>
      <c r="K163" s="143">
        <f>1-J163</f>
        <v>0.97768491574744532</v>
      </c>
      <c r="L163" s="143">
        <f>SUM($F$160:F163)</f>
        <v>0.79954694454068198</v>
      </c>
      <c r="M163" s="143">
        <v>1</v>
      </c>
      <c r="N163" s="144">
        <f>+(L163-J163)/(L163+M163-1)</f>
        <v>0.97209033890389751</v>
      </c>
      <c r="O163" s="145">
        <f>1-N163</f>
        <v>2.7909661096102489E-2</v>
      </c>
      <c r="P163" s="144">
        <f>+N163*M163/K163</f>
        <v>0.99427773022429145</v>
      </c>
      <c r="Q163" s="144">
        <f>+O163*L163/J163</f>
        <v>1.0000000000000018</v>
      </c>
      <c r="R163" s="146">
        <f>+N163*M163+O163*L163</f>
        <v>0.9944054231564522</v>
      </c>
    </row>
    <row r="164" spans="2:18" x14ac:dyDescent="0.2">
      <c r="B164" s="118"/>
      <c r="C164" s="119" t="s">
        <v>48</v>
      </c>
      <c r="D164" s="120">
        <v>212</v>
      </c>
      <c r="E164" s="121">
        <f>85.3+106.22</f>
        <v>191.51999999999998</v>
      </c>
      <c r="F164" s="122">
        <f t="shared" si="58"/>
        <v>0.10208139008075048</v>
      </c>
      <c r="G164" s="123">
        <f>SUM(E165:E$171)/$E$172</f>
        <v>9.8371665378567827E-2</v>
      </c>
      <c r="H164" s="124">
        <f>SUM(F165:F171)*100</f>
        <v>9.8371665378567847</v>
      </c>
      <c r="I164" s="116">
        <f>($I$207-H164)/($I$207*(100-H164))*10000</f>
        <v>88.871236298369126</v>
      </c>
      <c r="J164" s="143">
        <f t="shared" si="59"/>
        <v>0.16448704067131356</v>
      </c>
      <c r="K164" s="143">
        <f t="shared" ref="K164:K170" si="60">1-J164</f>
        <v>0.83551295932868641</v>
      </c>
      <c r="L164" s="143">
        <f>SUM($F$160:F164)</f>
        <v>0.90162833462143244</v>
      </c>
      <c r="M164" s="143">
        <v>1</v>
      </c>
      <c r="N164" s="144">
        <f t="shared" ref="N164:N170" si="61">+(L164-J164)/(L164+M164-1)</f>
        <v>0.81756669089112322</v>
      </c>
      <c r="O164" s="145">
        <f t="shared" ref="O164:O170" si="62">1-N164</f>
        <v>0.18243330910887678</v>
      </c>
      <c r="P164" s="144">
        <f t="shared" ref="P164:P170" si="63">+N164*M164/K164</f>
        <v>0.97852065819304279</v>
      </c>
      <c r="Q164" s="144">
        <f t="shared" ref="Q164:Q170" si="64">+O164*L164/J164</f>
        <v>1.0000000000000002</v>
      </c>
      <c r="R164" s="146">
        <f t="shared" ref="R164:R170" si="65">+N164*M164+O164*L164</f>
        <v>0.9820537315624368</v>
      </c>
    </row>
    <row r="165" spans="2:18" x14ac:dyDescent="0.2">
      <c r="B165" s="118"/>
      <c r="C165" s="119" t="s">
        <v>49</v>
      </c>
      <c r="D165" s="125">
        <v>180</v>
      </c>
      <c r="E165" s="126">
        <f>8.85+14.09</f>
        <v>22.939999999999998</v>
      </c>
      <c r="F165" s="113">
        <f t="shared" si="58"/>
        <v>1.2227167337366417E-2</v>
      </c>
      <c r="G165" s="114">
        <f>SUM(E166:E$171)/$E$172</f>
        <v>8.6144498041201417E-2</v>
      </c>
      <c r="J165" s="143">
        <f t="shared" si="59"/>
        <v>0.22077383772078232</v>
      </c>
      <c r="K165" s="143">
        <f t="shared" si="60"/>
        <v>0.7792261622792177</v>
      </c>
      <c r="L165" s="143">
        <f>SUM($F$160:F165)</f>
        <v>0.91385550195879883</v>
      </c>
      <c r="M165" s="143">
        <v>1</v>
      </c>
      <c r="N165" s="144">
        <f t="shared" si="61"/>
        <v>0.75841493841469931</v>
      </c>
      <c r="O165" s="145">
        <f t="shared" si="62"/>
        <v>0.24158506158530069</v>
      </c>
      <c r="P165" s="144">
        <f t="shared" si="63"/>
        <v>0.9732924472098754</v>
      </c>
      <c r="Q165" s="144">
        <f t="shared" si="64"/>
        <v>0.99999999999999989</v>
      </c>
      <c r="R165" s="146">
        <f t="shared" si="65"/>
        <v>0.97918877613548161</v>
      </c>
    </row>
    <row r="166" spans="2:18" x14ac:dyDescent="0.2">
      <c r="B166" s="118"/>
      <c r="C166" s="119" t="s">
        <v>50</v>
      </c>
      <c r="D166" s="125">
        <v>150</v>
      </c>
      <c r="E166" s="126">
        <f>10.52+14.76</f>
        <v>25.28</v>
      </c>
      <c r="F166" s="113">
        <f t="shared" si="58"/>
        <v>1.3474402366548521E-2</v>
      </c>
      <c r="G166" s="114">
        <f>SUM(E167:E$171)/$E$172</f>
        <v>7.2670095674652893E-2</v>
      </c>
      <c r="J166" s="143">
        <f t="shared" si="59"/>
        <v>0.30951817012925498</v>
      </c>
      <c r="K166" s="143">
        <f t="shared" si="60"/>
        <v>0.69048182987074502</v>
      </c>
      <c r="L166" s="143">
        <f>SUM($F$160:F166)</f>
        <v>0.92732990432534734</v>
      </c>
      <c r="M166" s="143">
        <v>1</v>
      </c>
      <c r="N166" s="144">
        <f t="shared" si="61"/>
        <v>0.66622647594392403</v>
      </c>
      <c r="O166" s="145">
        <f t="shared" si="62"/>
        <v>0.33377352405607597</v>
      </c>
      <c r="P166" s="144">
        <f t="shared" si="63"/>
        <v>0.96487184328751785</v>
      </c>
      <c r="Q166" s="144">
        <f t="shared" si="64"/>
        <v>0.99999999999999978</v>
      </c>
      <c r="R166" s="146">
        <f t="shared" si="65"/>
        <v>0.9757446460731789</v>
      </c>
    </row>
    <row r="167" spans="2:18" x14ac:dyDescent="0.2">
      <c r="B167" s="118"/>
      <c r="C167" s="119" t="s">
        <v>51</v>
      </c>
      <c r="D167" s="125">
        <v>106</v>
      </c>
      <c r="E167" s="126">
        <v>25.28</v>
      </c>
      <c r="F167" s="113">
        <f t="shared" si="58"/>
        <v>1.3474402366548521E-2</v>
      </c>
      <c r="G167" s="114">
        <f>SUM(E168:E$171)/$E$172</f>
        <v>5.9195693308104376E-2</v>
      </c>
      <c r="J167" s="143">
        <f t="shared" si="59"/>
        <v>0.46121506395073431</v>
      </c>
      <c r="K167" s="143">
        <f t="shared" si="60"/>
        <v>0.53878493604926569</v>
      </c>
      <c r="L167" s="143">
        <f>SUM($F$160:F167)</f>
        <v>0.94080430669189585</v>
      </c>
      <c r="M167" s="143">
        <v>1</v>
      </c>
      <c r="N167" s="144">
        <f t="shared" si="61"/>
        <v>0.50976514385602434</v>
      </c>
      <c r="O167" s="145">
        <f t="shared" si="62"/>
        <v>0.49023485614397566</v>
      </c>
      <c r="P167" s="144">
        <f t="shared" si="63"/>
        <v>0.94613844921865475</v>
      </c>
      <c r="Q167" s="144">
        <f t="shared" si="64"/>
        <v>1</v>
      </c>
      <c r="R167" s="146">
        <f t="shared" si="65"/>
        <v>0.97098020780675864</v>
      </c>
    </row>
    <row r="168" spans="2:18" x14ac:dyDescent="0.2">
      <c r="B168" s="118"/>
      <c r="C168" s="119" t="s">
        <v>52</v>
      </c>
      <c r="D168" s="125">
        <v>75</v>
      </c>
      <c r="E168" s="126">
        <v>14.31</v>
      </c>
      <c r="F168" s="113">
        <f t="shared" si="58"/>
        <v>7.6273219092290083E-3</v>
      </c>
      <c r="G168" s="114">
        <f>SUM(E169:E$171)/$E$172</f>
        <v>5.1568371398875365E-2</v>
      </c>
      <c r="J168" s="143">
        <f t="shared" si="59"/>
        <v>0.562673411382554</v>
      </c>
      <c r="K168" s="143">
        <f t="shared" si="60"/>
        <v>0.437326588617446</v>
      </c>
      <c r="L168" s="143">
        <f>SUM($F$160:F168)</f>
        <v>0.94843162860112484</v>
      </c>
      <c r="M168" s="143">
        <v>1</v>
      </c>
      <c r="N168" s="144">
        <f t="shared" si="61"/>
        <v>0.40673276342285131</v>
      </c>
      <c r="O168" s="145">
        <f t="shared" si="62"/>
        <v>0.59326723657714875</v>
      </c>
      <c r="P168" s="144">
        <f t="shared" si="63"/>
        <v>0.93004352813005653</v>
      </c>
      <c r="Q168" s="144">
        <f t="shared" si="64"/>
        <v>1</v>
      </c>
      <c r="R168" s="146">
        <f t="shared" si="65"/>
        <v>0.96940617480540525</v>
      </c>
    </row>
    <row r="169" spans="2:18" x14ac:dyDescent="0.2">
      <c r="B169" s="118"/>
      <c r="C169" s="119" t="s">
        <v>53</v>
      </c>
      <c r="D169" s="125">
        <v>53</v>
      </c>
      <c r="E169" s="126">
        <v>13.52</v>
      </c>
      <c r="F169" s="113">
        <f t="shared" si="58"/>
        <v>7.2062468352743665E-3</v>
      </c>
      <c r="G169" s="114">
        <f>SUM(E170:E$171)/$E$172</f>
        <v>4.4362124563601002E-2</v>
      </c>
      <c r="J169" s="143">
        <f t="shared" si="59"/>
        <v>0.65839649455234495</v>
      </c>
      <c r="K169" s="143">
        <f t="shared" si="60"/>
        <v>0.34160350544765505</v>
      </c>
      <c r="L169" s="143">
        <f>SUM($F$160:F169)</f>
        <v>0.95563787543639922</v>
      </c>
      <c r="M169" s="143">
        <v>1</v>
      </c>
      <c r="N169" s="144">
        <f t="shared" si="61"/>
        <v>0.31103976571493336</v>
      </c>
      <c r="O169" s="145">
        <f t="shared" si="62"/>
        <v>0.6889602342850667</v>
      </c>
      <c r="P169" s="144">
        <f t="shared" si="63"/>
        <v>0.91052861213274328</v>
      </c>
      <c r="Q169" s="144">
        <f t="shared" si="64"/>
        <v>1</v>
      </c>
      <c r="R169" s="146">
        <f t="shared" si="65"/>
        <v>0.96943626026727836</v>
      </c>
    </row>
    <row r="170" spans="2:18" x14ac:dyDescent="0.2">
      <c r="B170" s="118"/>
      <c r="C170" s="119" t="s">
        <v>54</v>
      </c>
      <c r="D170" s="125">
        <v>38</v>
      </c>
      <c r="E170" s="126">
        <v>10.11</v>
      </c>
      <c r="F170" s="113">
        <f t="shared" si="58"/>
        <v>5.3886949337739526E-3</v>
      </c>
      <c r="G170" s="114">
        <f>SUM(E171:E$171)/$E$172</f>
        <v>3.8973429629827049E-2</v>
      </c>
      <c r="J170" s="143">
        <f t="shared" si="59"/>
        <v>0.7124754686336876</v>
      </c>
      <c r="K170" s="143">
        <f t="shared" si="60"/>
        <v>0.2875245313663124</v>
      </c>
      <c r="L170" s="143">
        <f>SUM($F$160:F170)</f>
        <v>0.96102657037017314</v>
      </c>
      <c r="M170" s="143">
        <v>1</v>
      </c>
      <c r="N170" s="144">
        <f t="shared" si="61"/>
        <v>0.25863083227839095</v>
      </c>
      <c r="O170" s="145">
        <f t="shared" si="62"/>
        <v>0.74136916772160899</v>
      </c>
      <c r="P170" s="144">
        <f t="shared" si="63"/>
        <v>0.89950875165114086</v>
      </c>
      <c r="Q170" s="144">
        <f t="shared" si="64"/>
        <v>1</v>
      </c>
      <c r="R170" s="146">
        <f t="shared" si="65"/>
        <v>0.97110630091207861</v>
      </c>
    </row>
    <row r="171" spans="2:18" x14ac:dyDescent="0.2">
      <c r="B171" s="127"/>
      <c r="C171" s="128">
        <v>-38</v>
      </c>
      <c r="D171" s="129"/>
      <c r="E171" s="130">
        <f>68.19+4.93</f>
        <v>73.12</v>
      </c>
      <c r="F171" s="113">
        <f t="shared" si="58"/>
        <v>3.8973429629827049E-2</v>
      </c>
      <c r="G171" s="131"/>
    </row>
    <row r="172" spans="2:18" x14ac:dyDescent="0.2">
      <c r="B172" s="132"/>
      <c r="C172" s="133" t="s">
        <v>55</v>
      </c>
      <c r="D172" s="134"/>
      <c r="E172" s="135">
        <f>SUM(E160:E171)</f>
        <v>1876.1499999999996</v>
      </c>
      <c r="F172" s="136">
        <f t="shared" si="58"/>
        <v>1</v>
      </c>
      <c r="G172" s="135"/>
    </row>
    <row r="173" spans="2:18" x14ac:dyDescent="0.2">
      <c r="C173" s="137"/>
      <c r="D173" s="138"/>
      <c r="E173" s="139"/>
      <c r="F173" s="140"/>
      <c r="G173" s="139"/>
    </row>
    <row r="174" spans="2:18" x14ac:dyDescent="0.2">
      <c r="B174" s="162" t="s">
        <v>23</v>
      </c>
      <c r="C174" s="177" t="s">
        <v>24</v>
      </c>
      <c r="D174" s="178"/>
      <c r="E174" s="107" t="s">
        <v>25</v>
      </c>
      <c r="F174" s="108" t="s">
        <v>26</v>
      </c>
      <c r="G174" s="107" t="s">
        <v>27</v>
      </c>
    </row>
    <row r="175" spans="2:18" x14ac:dyDescent="0.2">
      <c r="B175" s="163" t="str">
        <f>+F17</f>
        <v>SC-014 O/S from deck4</v>
      </c>
      <c r="C175" s="110" t="s">
        <v>43</v>
      </c>
      <c r="D175" s="111">
        <v>1180</v>
      </c>
      <c r="E175" s="112">
        <f>135.1+127.96</f>
        <v>263.06</v>
      </c>
      <c r="F175" s="113">
        <f t="shared" ref="F175:F187" si="66">E175/$E$187</f>
        <v>0.11173597247589519</v>
      </c>
      <c r="G175" s="114">
        <f>SUM(E176:E$186)/$E$187</f>
        <v>0.88826402752410483</v>
      </c>
    </row>
    <row r="176" spans="2:18" x14ac:dyDescent="0.2">
      <c r="B176" s="163" t="s">
        <v>44</v>
      </c>
      <c r="C176" s="111" t="s">
        <v>45</v>
      </c>
      <c r="D176" s="111">
        <v>600</v>
      </c>
      <c r="E176" s="112">
        <f>300.27+309.51</f>
        <v>609.78</v>
      </c>
      <c r="F176" s="113">
        <f t="shared" si="66"/>
        <v>0.25900692350167781</v>
      </c>
      <c r="G176" s="114">
        <f>SUM(E177:E$186)/$E$187</f>
        <v>0.62925710402242707</v>
      </c>
    </row>
    <row r="177" spans="2:18" x14ac:dyDescent="0.2">
      <c r="B177" s="164">
        <f>FORECAST(0.8,D175:D176,G175:G176)</f>
        <v>982.34838794319285</v>
      </c>
      <c r="C177" s="111" t="s">
        <v>46</v>
      </c>
      <c r="D177" s="111">
        <v>425</v>
      </c>
      <c r="E177" s="112">
        <f>270.31+286.82</f>
        <v>557.13</v>
      </c>
      <c r="F177" s="113">
        <f t="shared" si="66"/>
        <v>0.23664358832774077</v>
      </c>
      <c r="G177" s="114">
        <f>SUM(E178:E$186)/$E$187</f>
        <v>0.39261351569468639</v>
      </c>
    </row>
    <row r="178" spans="2:18" x14ac:dyDescent="0.2">
      <c r="B178" s="118"/>
      <c r="C178" s="111" t="s">
        <v>47</v>
      </c>
      <c r="D178" s="111">
        <v>300</v>
      </c>
      <c r="E178" s="112">
        <f>240.56+266.35</f>
        <v>506.91</v>
      </c>
      <c r="F178" s="113">
        <f t="shared" si="66"/>
        <v>0.21531240708490851</v>
      </c>
      <c r="G178" s="114">
        <f>SUM(E179:E$186)/$E$187</f>
        <v>0.17730110860977788</v>
      </c>
      <c r="H178" s="116"/>
      <c r="J178" s="145">
        <f t="shared" ref="J178:J185" si="67">J163</f>
        <v>2.231508425255465E-2</v>
      </c>
      <c r="K178" s="143">
        <f>1-J178</f>
        <v>0.97768491574744532</v>
      </c>
      <c r="L178" s="143">
        <f>SUM($F$175:F178)</f>
        <v>0.82269889139022223</v>
      </c>
      <c r="M178" s="143">
        <v>1</v>
      </c>
      <c r="N178" s="144">
        <f>+(L178-J178)/(L178+M178-1)</f>
        <v>0.9728757574781145</v>
      </c>
      <c r="O178" s="145">
        <f>1-N178</f>
        <v>2.71242425218855E-2</v>
      </c>
      <c r="P178" s="144">
        <f>+N178*M178/K178</f>
        <v>0.99508107551638536</v>
      </c>
      <c r="Q178" s="144">
        <f>+O178*L178/J178</f>
        <v>1.0000000000000033</v>
      </c>
      <c r="R178" s="146">
        <f>+N178*M178+O178*L178</f>
        <v>0.99519084173066918</v>
      </c>
    </row>
    <row r="179" spans="2:18" x14ac:dyDescent="0.2">
      <c r="B179" s="118"/>
      <c r="C179" s="119" t="s">
        <v>48</v>
      </c>
      <c r="D179" s="120">
        <v>212</v>
      </c>
      <c r="E179" s="121">
        <f>85.11+102.77</f>
        <v>187.88</v>
      </c>
      <c r="F179" s="122">
        <f t="shared" si="66"/>
        <v>7.9802913817270532E-2</v>
      </c>
      <c r="G179" s="123">
        <f>SUM(E180:E$186)/$E$187</f>
        <v>9.7498194792507334E-2</v>
      </c>
      <c r="H179" s="124">
        <f>SUM(F180:F186)*100</f>
        <v>9.7498194792507356</v>
      </c>
      <c r="I179" s="116">
        <f>($I$207-H179)/($I$207*(100-H179))*10000</f>
        <v>88.980726965711327</v>
      </c>
      <c r="J179" s="145">
        <f t="shared" si="67"/>
        <v>0.16448704067131356</v>
      </c>
      <c r="K179" s="143">
        <f t="shared" ref="K179:K185" si="68">1-J179</f>
        <v>0.83551295932868641</v>
      </c>
      <c r="L179" s="143">
        <f>SUM($F$175:F179)</f>
        <v>0.90250180520749279</v>
      </c>
      <c r="M179" s="143">
        <v>1</v>
      </c>
      <c r="N179" s="144">
        <f t="shared" ref="N179:N185" si="69">+(L179-J179)/(L179+M179-1)</f>
        <v>0.81774325577831219</v>
      </c>
      <c r="O179" s="145">
        <f t="shared" ref="O179:O185" si="70">1-N179</f>
        <v>0.18225674422168781</v>
      </c>
      <c r="P179" s="144">
        <f t="shared" ref="P179:P185" si="71">+N179*M179/K179</f>
        <v>0.97873198332596578</v>
      </c>
      <c r="Q179" s="144">
        <f t="shared" ref="Q179:Q185" si="72">+O179*L179/J179</f>
        <v>0.99999999999999978</v>
      </c>
      <c r="R179" s="146">
        <f t="shared" ref="R179:R185" si="73">+N179*M179+O179*L179</f>
        <v>0.98223029644962567</v>
      </c>
    </row>
    <row r="180" spans="2:18" x14ac:dyDescent="0.2">
      <c r="B180" s="118"/>
      <c r="C180" s="119" t="s">
        <v>49</v>
      </c>
      <c r="D180" s="125">
        <v>180</v>
      </c>
      <c r="E180" s="126">
        <f>12.58+16.42</f>
        <v>29</v>
      </c>
      <c r="F180" s="113">
        <f t="shared" si="66"/>
        <v>1.231788642059211E-2</v>
      </c>
      <c r="G180" s="114">
        <f>SUM(E181:E$186)/$E$187</f>
        <v>8.5180308371915231E-2</v>
      </c>
      <c r="J180" s="145">
        <f t="shared" si="67"/>
        <v>0.22077383772078232</v>
      </c>
      <c r="K180" s="143">
        <f t="shared" si="68"/>
        <v>0.7792261622792177</v>
      </c>
      <c r="L180" s="143">
        <f>SUM($F$175:F180)</f>
        <v>0.91481969162808485</v>
      </c>
      <c r="M180" s="143">
        <v>1</v>
      </c>
      <c r="N180" s="144">
        <f t="shared" si="69"/>
        <v>0.75866956107178252</v>
      </c>
      <c r="O180" s="145">
        <f t="shared" si="70"/>
        <v>0.24133043892821748</v>
      </c>
      <c r="P180" s="144">
        <f t="shared" si="71"/>
        <v>0.97361921069576562</v>
      </c>
      <c r="Q180" s="144">
        <f t="shared" si="72"/>
        <v>0.99999999999999989</v>
      </c>
      <c r="R180" s="146">
        <f t="shared" si="73"/>
        <v>0.97944339879256481</v>
      </c>
    </row>
    <row r="181" spans="2:18" x14ac:dyDescent="0.2">
      <c r="B181" s="118"/>
      <c r="C181" s="119" t="s">
        <v>50</v>
      </c>
      <c r="D181" s="125">
        <v>150</v>
      </c>
      <c r="E181" s="150">
        <f>10.91+18.78</f>
        <v>29.69</v>
      </c>
      <c r="F181" s="113">
        <f t="shared" si="66"/>
        <v>1.261096716646137E-2</v>
      </c>
      <c r="G181" s="114">
        <f>SUM(E182:E$186)/$E$187</f>
        <v>7.2569341205453858E-2</v>
      </c>
      <c r="J181" s="145">
        <f t="shared" si="67"/>
        <v>0.30951817012925498</v>
      </c>
      <c r="K181" s="143">
        <f t="shared" si="68"/>
        <v>0.69048182987074502</v>
      </c>
      <c r="L181" s="143">
        <f>SUM($F$175:F181)</f>
        <v>0.92743065879454623</v>
      </c>
      <c r="M181" s="143">
        <v>1</v>
      </c>
      <c r="N181" s="144">
        <f t="shared" si="69"/>
        <v>0.6662627365246262</v>
      </c>
      <c r="O181" s="145">
        <f t="shared" si="70"/>
        <v>0.3337372634753738</v>
      </c>
      <c r="P181" s="144">
        <f t="shared" si="71"/>
        <v>0.96492435818238331</v>
      </c>
      <c r="Q181" s="144">
        <f t="shared" si="72"/>
        <v>1</v>
      </c>
      <c r="R181" s="146">
        <f t="shared" si="73"/>
        <v>0.97578090665388117</v>
      </c>
    </row>
    <row r="182" spans="2:18" x14ac:dyDescent="0.2">
      <c r="B182" s="118"/>
      <c r="C182" s="119" t="s">
        <v>51</v>
      </c>
      <c r="D182" s="125">
        <v>106</v>
      </c>
      <c r="E182" s="126">
        <v>32.619999999999997</v>
      </c>
      <c r="F182" s="113">
        <f t="shared" si="66"/>
        <v>1.385549844964533E-2</v>
      </c>
      <c r="G182" s="114">
        <f>SUM(E183:E$186)/$E$187</f>
        <v>5.8713842755808536E-2</v>
      </c>
      <c r="J182" s="145">
        <f t="shared" si="67"/>
        <v>0.46121506395073431</v>
      </c>
      <c r="K182" s="143">
        <f t="shared" si="68"/>
        <v>0.53878493604926569</v>
      </c>
      <c r="L182" s="143">
        <f>SUM($F$175:F182)</f>
        <v>0.94128615724419151</v>
      </c>
      <c r="M182" s="143">
        <v>1</v>
      </c>
      <c r="N182" s="144">
        <f t="shared" si="69"/>
        <v>0.51001609829147376</v>
      </c>
      <c r="O182" s="145">
        <f t="shared" si="70"/>
        <v>0.48998390170852624</v>
      </c>
      <c r="P182" s="144">
        <f t="shared" si="71"/>
        <v>0.94660422771144193</v>
      </c>
      <c r="Q182" s="144">
        <f t="shared" si="72"/>
        <v>1</v>
      </c>
      <c r="R182" s="146">
        <f t="shared" si="73"/>
        <v>0.97123116224220807</v>
      </c>
    </row>
    <row r="183" spans="2:18" x14ac:dyDescent="0.2">
      <c r="B183" s="118"/>
      <c r="C183" s="119" t="s">
        <v>52</v>
      </c>
      <c r="D183" s="125">
        <v>75</v>
      </c>
      <c r="E183" s="126">
        <v>17.600000000000001</v>
      </c>
      <c r="F183" s="113">
        <f t="shared" si="66"/>
        <v>7.4756827931869363E-3</v>
      </c>
      <c r="G183" s="114">
        <f>SUM(E184:E$186)/$E$187</f>
        <v>5.1238159962621592E-2</v>
      </c>
      <c r="J183" s="145">
        <f t="shared" si="67"/>
        <v>0.562673411382554</v>
      </c>
      <c r="K183" s="143">
        <f t="shared" si="68"/>
        <v>0.437326588617446</v>
      </c>
      <c r="L183" s="143">
        <f>SUM($F$175:F183)</f>
        <v>0.9487618400373784</v>
      </c>
      <c r="M183" s="143">
        <v>1</v>
      </c>
      <c r="N183" s="144">
        <f t="shared" si="69"/>
        <v>0.4069392468816132</v>
      </c>
      <c r="O183" s="145">
        <f t="shared" si="70"/>
        <v>0.5930607531183868</v>
      </c>
      <c r="P183" s="144">
        <f t="shared" si="71"/>
        <v>0.93051567746681352</v>
      </c>
      <c r="Q183" s="144">
        <f t="shared" si="72"/>
        <v>1.0000000000000002</v>
      </c>
      <c r="R183" s="146">
        <f t="shared" si="73"/>
        <v>0.96961265826416732</v>
      </c>
    </row>
    <row r="184" spans="2:18" x14ac:dyDescent="0.2">
      <c r="B184" s="118"/>
      <c r="C184" s="119" t="s">
        <v>53</v>
      </c>
      <c r="D184" s="125">
        <v>53</v>
      </c>
      <c r="E184" s="126">
        <v>18.100000000000001</v>
      </c>
      <c r="F184" s="113">
        <f t="shared" si="66"/>
        <v>7.6880601452661099E-3</v>
      </c>
      <c r="G184" s="114">
        <f>SUM(E185:E$186)/$E$187</f>
        <v>4.3550099817355484E-2</v>
      </c>
      <c r="J184" s="145">
        <f t="shared" si="67"/>
        <v>0.65839649455234495</v>
      </c>
      <c r="K184" s="143">
        <f t="shared" si="68"/>
        <v>0.34160350544765505</v>
      </c>
      <c r="L184" s="143">
        <f>SUM($F$175:F184)</f>
        <v>0.95644990018264453</v>
      </c>
      <c r="M184" s="143">
        <v>1</v>
      </c>
      <c r="N184" s="144">
        <f t="shared" si="69"/>
        <v>0.31162469207575122</v>
      </c>
      <c r="O184" s="145">
        <f t="shared" si="70"/>
        <v>0.68837530792424872</v>
      </c>
      <c r="P184" s="144">
        <f t="shared" si="71"/>
        <v>0.91224090826404713</v>
      </c>
      <c r="Q184" s="144">
        <f t="shared" si="72"/>
        <v>0.99999999999999978</v>
      </c>
      <c r="R184" s="146">
        <f t="shared" si="73"/>
        <v>0.97002118662809611</v>
      </c>
    </row>
    <row r="185" spans="2:18" x14ac:dyDescent="0.2">
      <c r="B185" s="118"/>
      <c r="C185" s="119" t="s">
        <v>54</v>
      </c>
      <c r="D185" s="125">
        <v>38</v>
      </c>
      <c r="E185" s="130">
        <v>11.28</v>
      </c>
      <c r="F185" s="113">
        <f t="shared" si="66"/>
        <v>4.7912330629061722E-3</v>
      </c>
      <c r="G185" s="114">
        <f>SUM(E186:E$186)/$E$187</f>
        <v>3.8758866754449312E-2</v>
      </c>
      <c r="J185" s="145">
        <f t="shared" si="67"/>
        <v>0.7124754686336876</v>
      </c>
      <c r="K185" s="143">
        <f t="shared" si="68"/>
        <v>0.2875245313663124</v>
      </c>
      <c r="L185" s="143">
        <f>SUM($F$175:F185)</f>
        <v>0.96124113324555072</v>
      </c>
      <c r="M185" s="143">
        <v>1</v>
      </c>
      <c r="N185" s="144">
        <f t="shared" si="69"/>
        <v>0.25879631656203322</v>
      </c>
      <c r="O185" s="145">
        <f t="shared" si="70"/>
        <v>0.74120368343796672</v>
      </c>
      <c r="P185" s="144">
        <f t="shared" si="71"/>
        <v>0.90008430004993623</v>
      </c>
      <c r="Q185" s="144">
        <f t="shared" si="72"/>
        <v>1</v>
      </c>
      <c r="R185" s="146">
        <f t="shared" si="73"/>
        <v>0.97127178519572088</v>
      </c>
    </row>
    <row r="186" spans="2:18" x14ac:dyDescent="0.2">
      <c r="B186" s="127"/>
      <c r="C186" s="128">
        <v>-38</v>
      </c>
      <c r="D186" s="129"/>
      <c r="E186" s="130">
        <f>2.56+88.69</f>
        <v>91.25</v>
      </c>
      <c r="F186" s="113">
        <f t="shared" si="66"/>
        <v>3.8758866754449312E-2</v>
      </c>
      <c r="G186" s="131"/>
    </row>
    <row r="187" spans="2:18" x14ac:dyDescent="0.2">
      <c r="B187" s="132"/>
      <c r="C187" s="133" t="s">
        <v>55</v>
      </c>
      <c r="D187" s="134"/>
      <c r="E187" s="135">
        <f>SUM(E175:E186)</f>
        <v>2354.2999999999997</v>
      </c>
      <c r="F187" s="136">
        <f t="shared" si="66"/>
        <v>1</v>
      </c>
      <c r="G187" s="135"/>
    </row>
    <row r="188" spans="2:18" x14ac:dyDescent="0.2">
      <c r="C188" s="137"/>
      <c r="D188" s="138"/>
      <c r="E188" s="139"/>
      <c r="F188" s="140"/>
      <c r="G188" s="139"/>
    </row>
    <row r="189" spans="2:18" x14ac:dyDescent="0.2">
      <c r="B189" s="162" t="s">
        <v>23</v>
      </c>
      <c r="C189" s="177" t="s">
        <v>24</v>
      </c>
      <c r="D189" s="178"/>
      <c r="E189" s="107" t="s">
        <v>25</v>
      </c>
      <c r="F189" s="108" t="s">
        <v>26</v>
      </c>
      <c r="G189" s="107" t="s">
        <v>27</v>
      </c>
    </row>
    <row r="190" spans="2:18" x14ac:dyDescent="0.2">
      <c r="B190" s="163" t="str">
        <f>+G17</f>
        <v>SC-014 O/S from deck5</v>
      </c>
      <c r="C190" s="110" t="s">
        <v>43</v>
      </c>
      <c r="D190" s="111">
        <v>1180</v>
      </c>
      <c r="E190" s="112">
        <f>97.14+145.52</f>
        <v>242.66000000000003</v>
      </c>
      <c r="F190" s="113">
        <f t="shared" ref="F190:F202" si="74">E190/$E$202</f>
        <v>9.2265107242122682E-2</v>
      </c>
      <c r="G190" s="114">
        <f>SUM(E191:E$201)/$E$202</f>
        <v>0.907734892757877</v>
      </c>
    </row>
    <row r="191" spans="2:18" x14ac:dyDescent="0.2">
      <c r="B191" s="163" t="s">
        <v>44</v>
      </c>
      <c r="C191" s="111" t="s">
        <v>45</v>
      </c>
      <c r="D191" s="111">
        <v>600</v>
      </c>
      <c r="E191" s="112">
        <f>254.6+368.64</f>
        <v>623.24</v>
      </c>
      <c r="F191" s="113">
        <f t="shared" si="74"/>
        <v>0.23697068094280282</v>
      </c>
      <c r="G191" s="114">
        <f>SUM(E192:E$201)/$E$202</f>
        <v>0.67076421181507395</v>
      </c>
    </row>
    <row r="192" spans="2:18" x14ac:dyDescent="0.2">
      <c r="B192" s="164">
        <f>FORECAST(0.8,D190:D191,G190:G191)</f>
        <v>916.31236762723915</v>
      </c>
      <c r="C192" s="111" t="s">
        <v>46</v>
      </c>
      <c r="D192" s="111">
        <v>425</v>
      </c>
      <c r="E192" s="112">
        <f>239.92+373.42</f>
        <v>613.34</v>
      </c>
      <c r="F192" s="113">
        <f t="shared" si="74"/>
        <v>0.2332064653254905</v>
      </c>
      <c r="G192" s="114">
        <f>SUM(E193:E$201)/$E$202</f>
        <v>0.43755774648958357</v>
      </c>
    </row>
    <row r="193" spans="2:18" x14ac:dyDescent="0.2">
      <c r="B193" s="118"/>
      <c r="C193" s="111" t="s">
        <v>47</v>
      </c>
      <c r="D193" s="111">
        <v>300</v>
      </c>
      <c r="E193" s="112">
        <f>244.6+375.43</f>
        <v>620.03</v>
      </c>
      <c r="F193" s="113">
        <f t="shared" si="74"/>
        <v>0.23575016254567427</v>
      </c>
      <c r="G193" s="114">
        <f>SUM(E194:E$201)/$E$202</f>
        <v>0.2018075839439093</v>
      </c>
      <c r="H193" s="116"/>
      <c r="J193" s="145">
        <f t="shared" ref="J193:J200" si="75">+J178</f>
        <v>2.231508425255465E-2</v>
      </c>
      <c r="K193" s="143">
        <f>1-J193</f>
        <v>0.97768491574744532</v>
      </c>
      <c r="L193" s="143">
        <f>SUM($F$190:F193)</f>
        <v>0.79819241605609026</v>
      </c>
      <c r="M193" s="143">
        <v>1</v>
      </c>
      <c r="N193" s="144">
        <f>+(L193-J193)/(L193+M193-1)</f>
        <v>0.9720429763504711</v>
      </c>
      <c r="O193" s="145">
        <f>1-N193</f>
        <v>2.79570236495289E-2</v>
      </c>
      <c r="P193" s="144">
        <f>+N193*M193/K193</f>
        <v>0.99422928664838717</v>
      </c>
      <c r="Q193" s="144">
        <f>+O193*L193/J193</f>
        <v>1.0000000000000033</v>
      </c>
      <c r="R193" s="146">
        <f>+N193*M193+O193*L193</f>
        <v>0.99435806060302578</v>
      </c>
    </row>
    <row r="194" spans="2:18" x14ac:dyDescent="0.2">
      <c r="B194" s="118"/>
      <c r="C194" s="119" t="s">
        <v>48</v>
      </c>
      <c r="D194" s="120">
        <v>212</v>
      </c>
      <c r="E194" s="121">
        <f>92.29+155.53</f>
        <v>247.82</v>
      </c>
      <c r="F194" s="122">
        <f t="shared" si="74"/>
        <v>9.4227062048721832E-2</v>
      </c>
      <c r="G194" s="123">
        <f>SUM(E195:E$201)/$E$202</f>
        <v>0.10758052189518748</v>
      </c>
      <c r="H194" s="124">
        <f>SUM(F195:F201)*100</f>
        <v>10.758052189518747</v>
      </c>
      <c r="I194" s="116">
        <f>($H$194-H194)/($I$207*(100-H194))*10000</f>
        <v>0</v>
      </c>
      <c r="J194" s="145">
        <f t="shared" si="75"/>
        <v>0.16448704067131356</v>
      </c>
      <c r="K194" s="143">
        <f t="shared" ref="K194:K200" si="76">1-J194</f>
        <v>0.83551295932868641</v>
      </c>
      <c r="L194" s="143">
        <f>SUM($F$190:F194)</f>
        <v>0.89241947810481204</v>
      </c>
      <c r="M194" s="143">
        <v>1</v>
      </c>
      <c r="N194" s="144">
        <f t="shared" ref="N194:N200" si="77">+(L194-J194)/(L194+M194-1)</f>
        <v>0.81568416567887247</v>
      </c>
      <c r="O194" s="145">
        <f t="shared" ref="O194:O200" si="78">1-N194</f>
        <v>0.18431583432112753</v>
      </c>
      <c r="P194" s="144">
        <f t="shared" ref="P194:P200" si="79">+N194*M194/K194</f>
        <v>0.97626752113366877</v>
      </c>
      <c r="Q194" s="144">
        <f t="shared" ref="Q194:Q200" si="80">+O194*L194/J194</f>
        <v>1.0000000000000004</v>
      </c>
      <c r="R194" s="146">
        <f t="shared" ref="R194:R200" si="81">+N194*M194+O194*L194</f>
        <v>0.98017120635018606</v>
      </c>
    </row>
    <row r="195" spans="2:18" x14ac:dyDescent="0.2">
      <c r="B195" s="118"/>
      <c r="C195" s="119" t="s">
        <v>49</v>
      </c>
      <c r="D195" s="125">
        <v>180</v>
      </c>
      <c r="E195" s="126">
        <f>14.48+26.9</f>
        <v>41.379999999999995</v>
      </c>
      <c r="F195" s="113">
        <f t="shared" si="74"/>
        <v>1.5733660832766158E-2</v>
      </c>
      <c r="G195" s="114">
        <f>SUM(E196:E$201)/$E$202</f>
        <v>9.184686106242132E-2</v>
      </c>
      <c r="J195" s="145">
        <f t="shared" si="75"/>
        <v>0.22077383772078232</v>
      </c>
      <c r="K195" s="143">
        <f t="shared" si="76"/>
        <v>0.7792261622792177</v>
      </c>
      <c r="L195" s="143">
        <f>SUM($F$190:F195)</f>
        <v>0.90815313893757821</v>
      </c>
      <c r="M195" s="143">
        <v>1</v>
      </c>
      <c r="N195" s="144">
        <f t="shared" si="77"/>
        <v>0.75689800733490908</v>
      </c>
      <c r="O195" s="145">
        <f t="shared" si="78"/>
        <v>0.24310199266509092</v>
      </c>
      <c r="P195" s="144">
        <f t="shared" si="79"/>
        <v>0.97134573243921984</v>
      </c>
      <c r="Q195" s="144">
        <f t="shared" si="80"/>
        <v>1.0000000000000004</v>
      </c>
      <c r="R195" s="146">
        <f t="shared" si="81"/>
        <v>0.97767184505569149</v>
      </c>
    </row>
    <row r="196" spans="2:18" x14ac:dyDescent="0.2">
      <c r="B196" s="118"/>
      <c r="C196" s="119" t="s">
        <v>50</v>
      </c>
      <c r="D196" s="125">
        <v>150</v>
      </c>
      <c r="E196" s="126">
        <f>12.61+21.98</f>
        <v>34.590000000000003</v>
      </c>
      <c r="F196" s="113">
        <f t="shared" si="74"/>
        <v>1.315194123260951E-2</v>
      </c>
      <c r="G196" s="114">
        <f>SUM(E197:E$201)/$E$202</f>
        <v>7.8694919829811805E-2</v>
      </c>
      <c r="J196" s="145">
        <f t="shared" si="75"/>
        <v>0.30951817012925498</v>
      </c>
      <c r="K196" s="143">
        <f t="shared" si="76"/>
        <v>0.69048182987074502</v>
      </c>
      <c r="L196" s="143">
        <f>SUM($F$190:F196)</f>
        <v>0.92130508017018775</v>
      </c>
      <c r="M196" s="143">
        <v>1</v>
      </c>
      <c r="N196" s="144">
        <f t="shared" si="77"/>
        <v>0.66404378224846072</v>
      </c>
      <c r="O196" s="145">
        <f t="shared" si="78"/>
        <v>0.33595621775153928</v>
      </c>
      <c r="P196" s="144">
        <f t="shared" si="79"/>
        <v>0.96171072651219025</v>
      </c>
      <c r="Q196" s="144">
        <f t="shared" si="80"/>
        <v>0.99999999999999978</v>
      </c>
      <c r="R196" s="146">
        <f t="shared" si="81"/>
        <v>0.9735619523777157</v>
      </c>
    </row>
    <row r="197" spans="2:18" x14ac:dyDescent="0.2">
      <c r="B197" s="118"/>
      <c r="C197" s="119" t="s">
        <v>51</v>
      </c>
      <c r="D197" s="125">
        <v>106</v>
      </c>
      <c r="E197" s="126">
        <v>34.56</v>
      </c>
      <c r="F197" s="113">
        <f t="shared" si="74"/>
        <v>1.3140534518617653E-2</v>
      </c>
      <c r="G197" s="114">
        <f>SUM(E198:E$201)/$E$202</f>
        <v>6.5554385311194147E-2</v>
      </c>
      <c r="J197" s="145">
        <f t="shared" si="75"/>
        <v>0.46121506395073431</v>
      </c>
      <c r="K197" s="143">
        <f t="shared" si="76"/>
        <v>0.53878493604926569</v>
      </c>
      <c r="L197" s="143">
        <f>SUM($F$190:F197)</f>
        <v>0.93444561468880538</v>
      </c>
      <c r="M197" s="143">
        <v>1</v>
      </c>
      <c r="N197" s="144">
        <f t="shared" si="77"/>
        <v>0.50642920604391639</v>
      </c>
      <c r="O197" s="145">
        <f t="shared" si="78"/>
        <v>0.49357079395608361</v>
      </c>
      <c r="P197" s="144">
        <f t="shared" si="79"/>
        <v>0.93994685478290596</v>
      </c>
      <c r="Q197" s="144">
        <f t="shared" si="80"/>
        <v>0.99999999999999989</v>
      </c>
      <c r="R197" s="146">
        <f t="shared" si="81"/>
        <v>0.96764426999465059</v>
      </c>
    </row>
    <row r="198" spans="2:18" x14ac:dyDescent="0.2">
      <c r="B198" s="118"/>
      <c r="C198" s="119" t="s">
        <v>52</v>
      </c>
      <c r="D198" s="125">
        <v>75</v>
      </c>
      <c r="E198" s="126">
        <v>22.15</v>
      </c>
      <c r="F198" s="113">
        <f t="shared" si="74"/>
        <v>8.421957163986719E-3</v>
      </c>
      <c r="G198" s="114">
        <f>SUM(E199:E$201)/$E$202</f>
        <v>5.7132428147207433E-2</v>
      </c>
      <c r="J198" s="145">
        <f t="shared" si="75"/>
        <v>0.562673411382554</v>
      </c>
      <c r="K198" s="143">
        <f t="shared" si="76"/>
        <v>0.437326588617446</v>
      </c>
      <c r="L198" s="143">
        <f>SUM($F$190:F198)</f>
        <v>0.94286757185279213</v>
      </c>
      <c r="M198" s="143">
        <v>1</v>
      </c>
      <c r="N198" s="144">
        <f t="shared" si="77"/>
        <v>0.40323177063257515</v>
      </c>
      <c r="O198" s="145">
        <f t="shared" si="78"/>
        <v>0.5967682293674248</v>
      </c>
      <c r="P198" s="144">
        <f t="shared" si="79"/>
        <v>0.92203808578696889</v>
      </c>
      <c r="Q198" s="144">
        <f t="shared" si="80"/>
        <v>0.99999999999999978</v>
      </c>
      <c r="R198" s="146">
        <f t="shared" si="81"/>
        <v>0.96590518201512898</v>
      </c>
    </row>
    <row r="199" spans="2:18" x14ac:dyDescent="0.2">
      <c r="B199" s="118"/>
      <c r="C199" s="119" t="s">
        <v>53</v>
      </c>
      <c r="D199" s="125">
        <v>53</v>
      </c>
      <c r="E199" s="126">
        <v>27.15</v>
      </c>
      <c r="F199" s="113">
        <f t="shared" si="74"/>
        <v>1.0323076162629318E-2</v>
      </c>
      <c r="G199" s="114">
        <f>SUM(E200:E$201)/$E$202</f>
        <v>4.6809351984578106E-2</v>
      </c>
      <c r="J199" s="145">
        <f t="shared" si="75"/>
        <v>0.65839649455234495</v>
      </c>
      <c r="K199" s="143">
        <f t="shared" si="76"/>
        <v>0.34160350544765505</v>
      </c>
      <c r="L199" s="143">
        <f>SUM($F$190:F199)</f>
        <v>0.95319064801542142</v>
      </c>
      <c r="M199" s="143">
        <v>1</v>
      </c>
      <c r="N199" s="144">
        <f t="shared" si="77"/>
        <v>0.30927092505245291</v>
      </c>
      <c r="O199" s="145">
        <f t="shared" si="78"/>
        <v>0.69072907494754709</v>
      </c>
      <c r="P199" s="144">
        <f t="shared" si="79"/>
        <v>0.90535056028528793</v>
      </c>
      <c r="Q199" s="144">
        <f t="shared" si="80"/>
        <v>1</v>
      </c>
      <c r="R199" s="146">
        <f t="shared" si="81"/>
        <v>0.96766741960479785</v>
      </c>
    </row>
    <row r="200" spans="2:18" x14ac:dyDescent="0.2">
      <c r="B200" s="118"/>
      <c r="C200" s="119" t="s">
        <v>54</v>
      </c>
      <c r="D200" s="125">
        <v>38</v>
      </c>
      <c r="E200" s="126">
        <v>15.5</v>
      </c>
      <c r="F200" s="113">
        <f t="shared" si="74"/>
        <v>5.893468895792061E-3</v>
      </c>
      <c r="G200" s="114">
        <f>SUM(E201:E$201)/$E$202</f>
        <v>4.0915883088786048E-2</v>
      </c>
      <c r="J200" s="145">
        <f t="shared" si="75"/>
        <v>0.7124754686336876</v>
      </c>
      <c r="K200" s="143">
        <f t="shared" si="76"/>
        <v>0.2875245313663124</v>
      </c>
      <c r="L200" s="143">
        <f>SUM($F$190:F200)</f>
        <v>0.95908411691121342</v>
      </c>
      <c r="M200" s="143">
        <v>1</v>
      </c>
      <c r="N200" s="144">
        <f t="shared" si="77"/>
        <v>0.2571293215362</v>
      </c>
      <c r="O200" s="145">
        <f t="shared" si="78"/>
        <v>0.74287067846379995</v>
      </c>
      <c r="P200" s="144">
        <f t="shared" si="79"/>
        <v>0.89428655118339018</v>
      </c>
      <c r="Q200" s="144">
        <f t="shared" si="80"/>
        <v>0.99999999999999989</v>
      </c>
      <c r="R200" s="146">
        <f t="shared" si="81"/>
        <v>0.96960479016988743</v>
      </c>
    </row>
    <row r="201" spans="2:18" x14ac:dyDescent="0.2">
      <c r="B201" s="127"/>
      <c r="C201" s="128">
        <v>-38</v>
      </c>
      <c r="D201" s="129"/>
      <c r="E201" s="172">
        <f>4.93+102.68</f>
        <v>107.61000000000001</v>
      </c>
      <c r="F201" s="113">
        <f t="shared" si="74"/>
        <v>4.0915883088786048E-2</v>
      </c>
      <c r="G201" s="131"/>
    </row>
    <row r="202" spans="2:18" x14ac:dyDescent="0.2">
      <c r="B202" s="132"/>
      <c r="C202" s="133" t="s">
        <v>55</v>
      </c>
      <c r="D202" s="134"/>
      <c r="E202" s="135">
        <f>SUM(E190:E201)</f>
        <v>2630.0300000000011</v>
      </c>
      <c r="F202" s="136">
        <f t="shared" si="74"/>
        <v>1</v>
      </c>
      <c r="G202" s="135"/>
    </row>
    <row r="207" spans="2:18" x14ac:dyDescent="0.2">
      <c r="I207" s="84">
        <f>I208*100</f>
        <v>49.504704320063297</v>
      </c>
    </row>
    <row r="208" spans="2:18" x14ac:dyDescent="0.2">
      <c r="I208" s="143">
        <f>SUM(F30:F36)</f>
        <v>0.49504704320063297</v>
      </c>
    </row>
    <row r="221" spans="8:8" x14ac:dyDescent="0.2">
      <c r="H221" s="116"/>
    </row>
    <row r="222" spans="8:8" x14ac:dyDescent="0.2">
      <c r="H222" s="166"/>
    </row>
    <row r="238" spans="3:6" x14ac:dyDescent="0.2">
      <c r="C238" s="84">
        <f>69.52-100</f>
        <v>-30.480000000000004</v>
      </c>
      <c r="D238" s="84">
        <f>C238/C239</f>
        <v>0.38080959520239888</v>
      </c>
      <c r="E238" s="84">
        <f>19.96/69.52</f>
        <v>0.28711162255466055</v>
      </c>
      <c r="F238" s="167">
        <f>69.52/19.96</f>
        <v>3.4829659318637272</v>
      </c>
    </row>
    <row r="239" spans="3:6" x14ac:dyDescent="0.2">
      <c r="C239" s="84">
        <f>19.96-100</f>
        <v>-80.039999999999992</v>
      </c>
      <c r="D239" s="84">
        <f>D238*E238</f>
        <v>0.10933486076294421</v>
      </c>
    </row>
    <row r="241" spans="4:5" x14ac:dyDescent="0.2">
      <c r="E241" s="84">
        <f>D238*F238</f>
        <v>1.3263468466167718</v>
      </c>
    </row>
    <row r="242" spans="4:5" x14ac:dyDescent="0.2">
      <c r="D242" s="84">
        <f>D239*100</f>
        <v>10.933486076294422</v>
      </c>
    </row>
  </sheetData>
  <mergeCells count="17">
    <mergeCell ref="C114:D114"/>
    <mergeCell ref="B1:G3"/>
    <mergeCell ref="A5:B5"/>
    <mergeCell ref="A6:B6"/>
    <mergeCell ref="A7:B7"/>
    <mergeCell ref="A8:B8"/>
    <mergeCell ref="C24:D24"/>
    <mergeCell ref="C39:D39"/>
    <mergeCell ref="C54:D54"/>
    <mergeCell ref="C69:D69"/>
    <mergeCell ref="C84:D84"/>
    <mergeCell ref="C99:D99"/>
    <mergeCell ref="C129:D129"/>
    <mergeCell ref="C144:D144"/>
    <mergeCell ref="C159:D159"/>
    <mergeCell ref="C174:D174"/>
    <mergeCell ref="C189:D189"/>
  </mergeCells>
  <pageMargins left="0.70866141732283472" right="0.70866141732283472" top="1.299212598425197" bottom="0.74803149606299213" header="0.31496062992125984" footer="0.31496062992125984"/>
  <pageSetup scale="91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7E692-D8EB-4BEC-A7C0-D8FFA664DA44}">
  <sheetPr>
    <pageSetUpPr fitToPage="1"/>
  </sheetPr>
  <dimension ref="A1:R242"/>
  <sheetViews>
    <sheetView showGridLines="0" zoomScaleNormal="100" workbookViewId="0">
      <selection activeCell="C5" sqref="C5"/>
    </sheetView>
  </sheetViews>
  <sheetFormatPr defaultColWidth="8.85546875" defaultRowHeight="11.25" x14ac:dyDescent="0.2"/>
  <cols>
    <col min="1" max="1" width="14.140625" style="84" bestFit="1" customWidth="1"/>
    <col min="2" max="2" width="16" style="84" bestFit="1" customWidth="1"/>
    <col min="3" max="5" width="12.5703125" style="84" bestFit="1" customWidth="1"/>
    <col min="6" max="6" width="12.5703125" style="144" bestFit="1" customWidth="1"/>
    <col min="7" max="7" width="12.5703125" style="84" bestFit="1" customWidth="1"/>
    <col min="8" max="8" width="15.140625" style="84" bestFit="1" customWidth="1"/>
    <col min="9" max="15" width="14" style="84" customWidth="1"/>
    <col min="16" max="18" width="6.7109375" style="84" bestFit="1" customWidth="1"/>
    <col min="19" max="16384" width="8.85546875" style="84"/>
  </cols>
  <sheetData>
    <row r="1" spans="1:7" x14ac:dyDescent="0.2">
      <c r="A1" s="83"/>
      <c r="B1" s="180" t="s">
        <v>145</v>
      </c>
      <c r="C1" s="180"/>
      <c r="D1" s="180"/>
      <c r="E1" s="180"/>
      <c r="F1" s="180"/>
      <c r="G1" s="180"/>
    </row>
    <row r="2" spans="1:7" x14ac:dyDescent="0.2">
      <c r="A2" s="83"/>
      <c r="B2" s="180"/>
      <c r="C2" s="180"/>
      <c r="D2" s="180"/>
      <c r="E2" s="180"/>
      <c r="F2" s="180"/>
      <c r="G2" s="180"/>
    </row>
    <row r="3" spans="1:7" x14ac:dyDescent="0.2">
      <c r="A3" s="83"/>
      <c r="B3" s="180"/>
      <c r="C3" s="180"/>
      <c r="D3" s="180"/>
      <c r="E3" s="180"/>
      <c r="F3" s="180"/>
      <c r="G3" s="180"/>
    </row>
    <row r="4" spans="1:7" x14ac:dyDescent="0.2">
      <c r="A4" s="83"/>
      <c r="B4" s="85"/>
      <c r="C4" s="86"/>
      <c r="D4" s="85"/>
      <c r="E4" s="85"/>
      <c r="F4" s="85"/>
      <c r="G4" s="85"/>
    </row>
    <row r="5" spans="1:7" x14ac:dyDescent="0.2">
      <c r="A5" s="181" t="s">
        <v>65</v>
      </c>
      <c r="B5" s="182"/>
      <c r="C5" s="87"/>
      <c r="D5" s="85"/>
      <c r="E5" s="85"/>
      <c r="F5" s="85"/>
      <c r="G5" s="85"/>
    </row>
    <row r="6" spans="1:7" x14ac:dyDescent="0.2">
      <c r="A6" s="183" t="s">
        <v>66</v>
      </c>
      <c r="B6" s="184"/>
      <c r="C6" s="87"/>
      <c r="D6" s="85"/>
      <c r="E6" s="85"/>
      <c r="F6" s="85"/>
      <c r="G6" s="85"/>
    </row>
    <row r="7" spans="1:7" x14ac:dyDescent="0.2">
      <c r="A7" s="185" t="s">
        <v>67</v>
      </c>
      <c r="B7" s="186"/>
      <c r="C7" s="87"/>
      <c r="D7" s="85"/>
      <c r="E7" s="85"/>
      <c r="F7" s="85"/>
      <c r="G7" s="85"/>
    </row>
    <row r="8" spans="1:7" x14ac:dyDescent="0.2">
      <c r="A8" s="187" t="s">
        <v>129</v>
      </c>
      <c r="B8" s="187"/>
      <c r="C8" s="87" t="s">
        <v>130</v>
      </c>
      <c r="D8" s="85"/>
      <c r="E8" s="85"/>
      <c r="F8" s="85"/>
      <c r="G8" s="85"/>
    </row>
    <row r="9" spans="1:7" ht="12" thickBot="1" x14ac:dyDescent="0.25">
      <c r="A9" s="83"/>
      <c r="B9" s="88"/>
      <c r="C9" s="88"/>
      <c r="D9" s="88"/>
      <c r="E9" s="88"/>
      <c r="F9" s="89"/>
      <c r="G9" s="89"/>
    </row>
    <row r="10" spans="1:7" ht="31.9" customHeight="1" thickTop="1" x14ac:dyDescent="0.2">
      <c r="A10" s="90" t="s">
        <v>4</v>
      </c>
      <c r="B10" s="91" t="s">
        <v>146</v>
      </c>
      <c r="C10" s="91" t="s">
        <v>147</v>
      </c>
      <c r="D10" s="91" t="s">
        <v>148</v>
      </c>
      <c r="E10" s="91" t="s">
        <v>149</v>
      </c>
      <c r="F10" s="91" t="s">
        <v>150</v>
      </c>
      <c r="G10" s="91" t="s">
        <v>151</v>
      </c>
    </row>
    <row r="11" spans="1:7" x14ac:dyDescent="0.2">
      <c r="A11" s="92" t="s">
        <v>75</v>
      </c>
      <c r="B11" s="93" t="s">
        <v>137</v>
      </c>
      <c r="C11" s="93" t="s">
        <v>152</v>
      </c>
      <c r="D11" s="93" t="s">
        <v>152</v>
      </c>
      <c r="E11" s="93" t="s">
        <v>152</v>
      </c>
      <c r="F11" s="93" t="s">
        <v>152</v>
      </c>
      <c r="G11" s="93" t="s">
        <v>152</v>
      </c>
    </row>
    <row r="12" spans="1:7" x14ac:dyDescent="0.2">
      <c r="A12" s="94" t="s">
        <v>11</v>
      </c>
      <c r="B12" s="95">
        <v>774</v>
      </c>
      <c r="C12" s="95">
        <v>770</v>
      </c>
      <c r="D12" s="95">
        <v>740</v>
      </c>
      <c r="E12" s="95">
        <v>770</v>
      </c>
      <c r="F12" s="95">
        <v>770</v>
      </c>
      <c r="G12" s="95">
        <v>774</v>
      </c>
    </row>
    <row r="13" spans="1:7" x14ac:dyDescent="0.2">
      <c r="A13" s="94" t="s">
        <v>12</v>
      </c>
      <c r="B13" s="95">
        <v>5874</v>
      </c>
      <c r="C13" s="95">
        <v>3686</v>
      </c>
      <c r="D13" s="95">
        <v>3770</v>
      </c>
      <c r="E13" s="95">
        <v>3068</v>
      </c>
      <c r="F13" s="95">
        <v>4880</v>
      </c>
      <c r="G13" s="95">
        <v>2642</v>
      </c>
    </row>
    <row r="14" spans="1:7" x14ac:dyDescent="0.2">
      <c r="A14" s="94" t="s">
        <v>13</v>
      </c>
      <c r="B14" s="96">
        <f>E37</f>
        <v>1924.9300000000003</v>
      </c>
      <c r="C14" s="96">
        <f>+E52</f>
        <v>1009.9399999999998</v>
      </c>
      <c r="D14" s="96">
        <f>+E67</f>
        <v>1168.31</v>
      </c>
      <c r="E14" s="96">
        <f>+E82</f>
        <v>750.85</v>
      </c>
      <c r="F14" s="96">
        <f>+E97</f>
        <v>1529.9799999999998</v>
      </c>
      <c r="G14" s="96">
        <f>+E112</f>
        <v>772.96999999999991</v>
      </c>
    </row>
    <row r="15" spans="1:7" x14ac:dyDescent="0.2">
      <c r="A15" s="97" t="s">
        <v>14</v>
      </c>
      <c r="B15" s="98">
        <f t="shared" ref="B15:G15" si="0">B14/(B13-B12)</f>
        <v>0.37743725490196084</v>
      </c>
      <c r="C15" s="98">
        <f t="shared" si="0"/>
        <v>0.34634430727023313</v>
      </c>
      <c r="D15" s="98">
        <f t="shared" si="0"/>
        <v>0.38558085808580855</v>
      </c>
      <c r="E15" s="98">
        <f t="shared" si="0"/>
        <v>0.32674064403829417</v>
      </c>
      <c r="F15" s="98">
        <f t="shared" si="0"/>
        <v>0.37225790754257904</v>
      </c>
      <c r="G15" s="98">
        <f t="shared" si="0"/>
        <v>0.41379550321199138</v>
      </c>
    </row>
    <row r="16" spans="1:7" ht="12" thickBot="1" x14ac:dyDescent="0.25">
      <c r="A16" s="99"/>
      <c r="B16" s="100"/>
      <c r="C16" s="100"/>
      <c r="D16" s="100"/>
      <c r="E16" s="100"/>
      <c r="F16" s="100"/>
      <c r="G16" s="100"/>
    </row>
    <row r="17" spans="1:18" ht="23.25" thickTop="1" x14ac:dyDescent="0.2">
      <c r="A17" s="90" t="s">
        <v>4</v>
      </c>
      <c r="B17" s="91" t="s">
        <v>153</v>
      </c>
      <c r="C17" s="91" t="s">
        <v>154</v>
      </c>
      <c r="D17" s="91" t="s">
        <v>155</v>
      </c>
      <c r="E17" s="91" t="s">
        <v>156</v>
      </c>
      <c r="F17" s="91" t="s">
        <v>157</v>
      </c>
      <c r="G17" s="91" t="s">
        <v>158</v>
      </c>
    </row>
    <row r="18" spans="1:18" x14ac:dyDescent="0.2">
      <c r="A18" s="94" t="s">
        <v>11</v>
      </c>
      <c r="B18" s="95">
        <v>770</v>
      </c>
      <c r="C18" s="95">
        <v>770</v>
      </c>
      <c r="D18" s="95">
        <v>770</v>
      </c>
      <c r="E18" s="95">
        <v>770</v>
      </c>
      <c r="F18" s="95">
        <v>770</v>
      </c>
      <c r="G18" s="95">
        <v>770</v>
      </c>
    </row>
    <row r="19" spans="1:18" x14ac:dyDescent="0.2">
      <c r="A19" s="94" t="s">
        <v>12</v>
      </c>
      <c r="B19" s="101">
        <v>4958</v>
      </c>
      <c r="C19" s="95">
        <v>3754</v>
      </c>
      <c r="D19" s="95">
        <v>5046</v>
      </c>
      <c r="E19" s="95">
        <v>4916</v>
      </c>
      <c r="F19" s="95">
        <v>5096</v>
      </c>
      <c r="G19" s="95">
        <v>3656</v>
      </c>
    </row>
    <row r="20" spans="1:18" x14ac:dyDescent="0.2">
      <c r="A20" s="94" t="s">
        <v>13</v>
      </c>
      <c r="B20" s="102">
        <f>+E127</f>
        <v>1139.08</v>
      </c>
      <c r="C20" s="102">
        <f>+E142</f>
        <v>1994.2</v>
      </c>
      <c r="D20" s="102">
        <f>+E157</f>
        <v>2780.3300000000004</v>
      </c>
      <c r="E20" s="102">
        <f>+E172</f>
        <v>2380.0699999999997</v>
      </c>
      <c r="F20" s="102">
        <f>+E187</f>
        <v>2506.7100000000005</v>
      </c>
      <c r="G20" s="102">
        <f>+E202</f>
        <v>1873.26</v>
      </c>
    </row>
    <row r="21" spans="1:18" x14ac:dyDescent="0.2">
      <c r="A21" s="97" t="s">
        <v>14</v>
      </c>
      <c r="B21" s="98">
        <f t="shared" ref="B21:G21" si="1">B20/(B19-B18)</f>
        <v>0.27198662846227312</v>
      </c>
      <c r="C21" s="98">
        <f t="shared" si="1"/>
        <v>0.66829758713136733</v>
      </c>
      <c r="D21" s="98">
        <f t="shared" si="1"/>
        <v>0.65021749298409737</v>
      </c>
      <c r="E21" s="98">
        <f t="shared" si="1"/>
        <v>0.57406415822479495</v>
      </c>
      <c r="F21" s="98">
        <f t="shared" si="1"/>
        <v>0.5794521497919557</v>
      </c>
      <c r="G21" s="98">
        <f t="shared" si="1"/>
        <v>0.64908523908523907</v>
      </c>
    </row>
    <row r="22" spans="1:18" x14ac:dyDescent="0.2">
      <c r="A22" s="99"/>
      <c r="B22" s="100"/>
      <c r="C22" s="100"/>
      <c r="D22" s="100"/>
      <c r="E22" s="100"/>
      <c r="F22" s="100"/>
      <c r="G22" s="100"/>
      <c r="H22" s="100"/>
      <c r="I22" s="100"/>
      <c r="J22" s="84" t="s">
        <v>59</v>
      </c>
      <c r="K22" s="100"/>
      <c r="L22" s="100"/>
      <c r="M22" s="100"/>
    </row>
    <row r="23" spans="1:18" ht="33.75" x14ac:dyDescent="0.2">
      <c r="J23" s="103" t="s">
        <v>84</v>
      </c>
      <c r="K23" s="104" t="s">
        <v>85</v>
      </c>
      <c r="L23" s="104" t="s">
        <v>86</v>
      </c>
      <c r="M23" s="104" t="s">
        <v>87</v>
      </c>
      <c r="N23" s="104" t="s">
        <v>88</v>
      </c>
      <c r="O23" s="104" t="s">
        <v>89</v>
      </c>
      <c r="P23" s="104" t="s">
        <v>90</v>
      </c>
      <c r="Q23" s="104" t="s">
        <v>91</v>
      </c>
      <c r="R23" s="105" t="s">
        <v>92</v>
      </c>
    </row>
    <row r="24" spans="1:18" ht="12" thickBot="1" x14ac:dyDescent="0.25">
      <c r="B24" s="106" t="s">
        <v>23</v>
      </c>
      <c r="C24" s="177" t="s">
        <v>24</v>
      </c>
      <c r="D24" s="178"/>
      <c r="E24" s="107" t="s">
        <v>25</v>
      </c>
      <c r="F24" s="108" t="s">
        <v>26</v>
      </c>
      <c r="G24" s="107" t="s">
        <v>27</v>
      </c>
      <c r="H24" s="84" t="s">
        <v>28</v>
      </c>
    </row>
    <row r="25" spans="1:18" ht="12" thickTop="1" x14ac:dyDescent="0.2">
      <c r="B25" s="109" t="str">
        <f>B10&amp;" "&amp;B11</f>
        <v>SC-013 Feed DI-028</v>
      </c>
      <c r="C25" s="110" t="s">
        <v>43</v>
      </c>
      <c r="D25" s="111">
        <v>1180</v>
      </c>
      <c r="E25" s="112">
        <f>45.68+41.19</f>
        <v>86.87</v>
      </c>
      <c r="F25" s="113">
        <f>E25/$E$37</f>
        <v>4.5128913778682854E-2</v>
      </c>
      <c r="G25" s="114">
        <f>SUM(E26:E$36)/$E$37</f>
        <v>0.95487108622131711</v>
      </c>
      <c r="J25" s="84" t="s">
        <v>29</v>
      </c>
      <c r="K25" s="84" t="s">
        <v>30</v>
      </c>
      <c r="L25" s="84" t="s">
        <v>31</v>
      </c>
      <c r="M25" s="84" t="s">
        <v>32</v>
      </c>
      <c r="N25" s="84" t="s">
        <v>33</v>
      </c>
      <c r="O25" s="84" t="s">
        <v>34</v>
      </c>
      <c r="P25" s="84" t="s">
        <v>35</v>
      </c>
      <c r="Q25" s="84" t="s">
        <v>36</v>
      </c>
      <c r="R25" s="84" t="s">
        <v>37</v>
      </c>
    </row>
    <row r="26" spans="1:18" x14ac:dyDescent="0.2">
      <c r="B26" s="115" t="s">
        <v>44</v>
      </c>
      <c r="C26" s="111" t="s">
        <v>45</v>
      </c>
      <c r="D26" s="111">
        <v>600</v>
      </c>
      <c r="E26" s="112">
        <f>110.84+94.99</f>
        <v>205.82999999999998</v>
      </c>
      <c r="F26" s="113">
        <f t="shared" ref="F26:F36" si="2">E26/$E$37</f>
        <v>0.10692856363608025</v>
      </c>
      <c r="G26" s="114">
        <f>SUM(E27:E$36)/$E$37</f>
        <v>0.84794252258523672</v>
      </c>
      <c r="J26" s="116"/>
    </row>
    <row r="27" spans="1:18" x14ac:dyDescent="0.2">
      <c r="B27" s="117">
        <f>FORECAST(0.8,D26:D27,G26:G27)</f>
        <v>515.74473080133589</v>
      </c>
      <c r="C27" s="111" t="s">
        <v>46</v>
      </c>
      <c r="D27" s="111">
        <v>425</v>
      </c>
      <c r="E27" s="112">
        <f>105.66+86.02</f>
        <v>191.68</v>
      </c>
      <c r="F27" s="113">
        <f t="shared" si="2"/>
        <v>9.9577646979370674E-2</v>
      </c>
      <c r="G27" s="114">
        <f>SUM(E28:E$36)/$E$37</f>
        <v>0.74836487560586606</v>
      </c>
    </row>
    <row r="28" spans="1:18" x14ac:dyDescent="0.2">
      <c r="B28" s="118"/>
      <c r="C28" s="111" t="s">
        <v>47</v>
      </c>
      <c r="D28" s="111">
        <v>300</v>
      </c>
      <c r="E28" s="112">
        <f>140.96+117.56</f>
        <v>258.52</v>
      </c>
      <c r="F28" s="113">
        <f t="shared" si="2"/>
        <v>0.13430098756837908</v>
      </c>
      <c r="G28" s="114">
        <f>SUM(E29:E$36)/$E$37</f>
        <v>0.61406388803748702</v>
      </c>
    </row>
    <row r="29" spans="1:18" x14ac:dyDescent="0.2">
      <c r="B29" s="118"/>
      <c r="C29" s="119" t="s">
        <v>48</v>
      </c>
      <c r="D29" s="120">
        <v>212</v>
      </c>
      <c r="E29" s="121">
        <f>139.93+108.87</f>
        <v>248.8</v>
      </c>
      <c r="F29" s="122">
        <f t="shared" si="2"/>
        <v>0.1292514532996005</v>
      </c>
      <c r="G29" s="123">
        <f>SUM(E30:E$36)/$E$37</f>
        <v>0.48481243473788649</v>
      </c>
      <c r="H29" s="124">
        <f>SUM(F30:F36)*100</f>
        <v>48.481243473788652</v>
      </c>
    </row>
    <row r="30" spans="1:18" x14ac:dyDescent="0.2">
      <c r="B30" s="118"/>
      <c r="C30" s="119" t="s">
        <v>49</v>
      </c>
      <c r="D30" s="125">
        <v>180</v>
      </c>
      <c r="E30" s="126">
        <f>49.33+29.62</f>
        <v>78.95</v>
      </c>
      <c r="F30" s="113">
        <f t="shared" si="2"/>
        <v>4.1014478448566954E-2</v>
      </c>
      <c r="G30" s="114">
        <f>SUM(E31:E$36)/$E$37</f>
        <v>0.44379795628931951</v>
      </c>
    </row>
    <row r="31" spans="1:18" x14ac:dyDescent="0.2">
      <c r="B31" s="118"/>
      <c r="C31" s="119" t="s">
        <v>50</v>
      </c>
      <c r="D31" s="125">
        <v>150</v>
      </c>
      <c r="E31" s="126">
        <f>58.85+43.57</f>
        <v>102.42</v>
      </c>
      <c r="F31" s="113">
        <f t="shared" si="2"/>
        <v>5.3207129609907887E-2</v>
      </c>
      <c r="G31" s="114">
        <f>SUM(E32:E$36)/$E$37</f>
        <v>0.39059082667941164</v>
      </c>
    </row>
    <row r="32" spans="1:18" x14ac:dyDescent="0.2">
      <c r="B32" s="118"/>
      <c r="C32" s="119" t="s">
        <v>51</v>
      </c>
      <c r="D32" s="125">
        <v>106</v>
      </c>
      <c r="E32" s="126">
        <v>178.66</v>
      </c>
      <c r="F32" s="113">
        <f t="shared" si="2"/>
        <v>9.2813764656377098E-2</v>
      </c>
      <c r="G32" s="114">
        <f>SUM(E33:E$36)/$E$37</f>
        <v>0.29777706202303456</v>
      </c>
    </row>
    <row r="33" spans="2:18" x14ac:dyDescent="0.2">
      <c r="B33" s="118"/>
      <c r="C33" s="119" t="s">
        <v>52</v>
      </c>
      <c r="D33" s="125">
        <v>75</v>
      </c>
      <c r="E33" s="126">
        <v>120.01</v>
      </c>
      <c r="F33" s="113">
        <f t="shared" si="2"/>
        <v>6.2345124238283985E-2</v>
      </c>
      <c r="G33" s="114">
        <f>SUM(E34:E$36)/$E$37</f>
        <v>0.23543193778475058</v>
      </c>
    </row>
    <row r="34" spans="2:18" x14ac:dyDescent="0.2">
      <c r="B34" s="118"/>
      <c r="C34" s="119" t="s">
        <v>53</v>
      </c>
      <c r="D34" s="125">
        <v>53</v>
      </c>
      <c r="E34" s="126">
        <v>93.75</v>
      </c>
      <c r="F34" s="113">
        <f t="shared" si="2"/>
        <v>4.8703069722015858E-2</v>
      </c>
      <c r="G34" s="114">
        <f>SUM(E35:E$36)/$E$37</f>
        <v>0.18672886806273473</v>
      </c>
    </row>
    <row r="35" spans="2:18" x14ac:dyDescent="0.2">
      <c r="B35" s="118"/>
      <c r="C35" s="119" t="s">
        <v>54</v>
      </c>
      <c r="D35" s="125">
        <v>38</v>
      </c>
      <c r="E35" s="126">
        <v>41.26</v>
      </c>
      <c r="F35" s="113">
        <f t="shared" si="2"/>
        <v>2.1434545671790657E-2</v>
      </c>
      <c r="G35" s="114">
        <f>SUM(E36:E$36)/$E$37</f>
        <v>0.16529432239094408</v>
      </c>
    </row>
    <row r="36" spans="2:18" x14ac:dyDescent="0.2">
      <c r="B36" s="127"/>
      <c r="C36" s="128">
        <v>-38</v>
      </c>
      <c r="D36" s="129"/>
      <c r="E36" s="130">
        <f>19.23+298.95</f>
        <v>318.18</v>
      </c>
      <c r="F36" s="113">
        <f t="shared" si="2"/>
        <v>0.16529432239094408</v>
      </c>
      <c r="G36" s="131"/>
    </row>
    <row r="37" spans="2:18" x14ac:dyDescent="0.2">
      <c r="B37" s="132"/>
      <c r="C37" s="133" t="s">
        <v>55</v>
      </c>
      <c r="D37" s="134"/>
      <c r="E37" s="135">
        <f>SUM(E25:E36)</f>
        <v>1924.9300000000003</v>
      </c>
      <c r="F37" s="136">
        <f>E37/$E$37</f>
        <v>1</v>
      </c>
      <c r="G37" s="135"/>
    </row>
    <row r="38" spans="2:18" x14ac:dyDescent="0.2">
      <c r="C38" s="137"/>
      <c r="D38" s="138"/>
      <c r="E38" s="139"/>
      <c r="F38" s="140"/>
      <c r="G38" s="139"/>
    </row>
    <row r="39" spans="2:18" ht="12" thickBot="1" x14ac:dyDescent="0.25">
      <c r="B39" s="106" t="s">
        <v>23</v>
      </c>
      <c r="C39" s="177" t="s">
        <v>24</v>
      </c>
      <c r="D39" s="178"/>
      <c r="E39" s="107" t="s">
        <v>25</v>
      </c>
      <c r="F39" s="108" t="s">
        <v>26</v>
      </c>
      <c r="G39" s="107" t="s">
        <v>27</v>
      </c>
      <c r="J39" s="141"/>
      <c r="K39" s="141"/>
      <c r="L39" s="141"/>
      <c r="M39" s="141"/>
      <c r="N39" s="141"/>
      <c r="O39" s="141"/>
    </row>
    <row r="40" spans="2:18" ht="23.25" thickTop="1" x14ac:dyDescent="0.2">
      <c r="B40" s="109" t="str">
        <f>C10&amp;" "&amp;"("&amp;C11&amp;")"</f>
        <v>SC-013 feed to deck1 (DI-049)</v>
      </c>
      <c r="C40" s="110" t="s">
        <v>43</v>
      </c>
      <c r="D40" s="111">
        <v>1180</v>
      </c>
      <c r="E40" s="112">
        <v>36.549999999999997</v>
      </c>
      <c r="F40" s="113">
        <f>E40/$E$52</f>
        <v>3.6190268728835379E-2</v>
      </c>
      <c r="G40" s="142">
        <f>SUM(E41:E$51)/$E$52</f>
        <v>0.96380973127116476</v>
      </c>
      <c r="J40" s="116"/>
      <c r="K40" s="116"/>
      <c r="L40" s="116"/>
      <c r="M40" s="116"/>
      <c r="N40" s="116"/>
      <c r="O40" s="116"/>
    </row>
    <row r="41" spans="2:18" x14ac:dyDescent="0.2">
      <c r="B41" s="115" t="s">
        <v>44</v>
      </c>
      <c r="C41" s="111" t="s">
        <v>45</v>
      </c>
      <c r="D41" s="111">
        <v>600</v>
      </c>
      <c r="E41" s="112">
        <v>96.45</v>
      </c>
      <c r="F41" s="113">
        <f t="shared" ref="F41:F52" si="3">E41/$E$52</f>
        <v>9.5500722815216765E-2</v>
      </c>
      <c r="G41" s="142">
        <f>SUM(E42:E$51)/$E$52</f>
        <v>0.86830900845594794</v>
      </c>
    </row>
    <row r="42" spans="2:18" x14ac:dyDescent="0.2">
      <c r="B42" s="117">
        <f>FORECAST(0.8,D41:D42,G41:G42)</f>
        <v>466.81853281853273</v>
      </c>
      <c r="C42" s="111" t="s">
        <v>46</v>
      </c>
      <c r="D42" s="111">
        <v>425</v>
      </c>
      <c r="E42" s="112">
        <v>90.65</v>
      </c>
      <c r="F42" s="113">
        <f t="shared" si="3"/>
        <v>8.9757807394498706E-2</v>
      </c>
      <c r="G42" s="142">
        <f>SUM(E43:E$51)/$E$52</f>
        <v>0.77855120106144926</v>
      </c>
      <c r="J42" s="116"/>
    </row>
    <row r="43" spans="2:18" x14ac:dyDescent="0.2">
      <c r="B43" s="118"/>
      <c r="C43" s="111" t="s">
        <v>47</v>
      </c>
      <c r="D43" s="111">
        <v>300</v>
      </c>
      <c r="E43" s="112">
        <v>131.13999999999999</v>
      </c>
      <c r="F43" s="113">
        <f t="shared" si="3"/>
        <v>0.12984929797809772</v>
      </c>
      <c r="G43" s="142">
        <f>SUM(E44:E$51)/$E$52</f>
        <v>0.64870190308335163</v>
      </c>
      <c r="H43" s="116"/>
      <c r="J43" s="143">
        <f>SUM($F$25:F28)</f>
        <v>0.38593611196251287</v>
      </c>
      <c r="K43" s="143">
        <f>1-J43</f>
        <v>0.61406388803748713</v>
      </c>
      <c r="L43" s="143">
        <f>SUM($F$40:F43)</f>
        <v>0.35129809691664859</v>
      </c>
      <c r="M43" s="143">
        <v>1</v>
      </c>
      <c r="N43" s="144">
        <f>+(L43-J43)/(L43+M43-1)</f>
        <v>-9.8600064588686726E-2</v>
      </c>
      <c r="O43" s="145">
        <f>1-N43</f>
        <v>1.0986000645886866</v>
      </c>
      <c r="P43" s="144">
        <f>+N43*M43/K43</f>
        <v>-0.16056971678273879</v>
      </c>
      <c r="Q43" s="144">
        <f>+O43*L43/J43</f>
        <v>1</v>
      </c>
      <c r="R43" s="146">
        <f>+N43*M43+O43*L43</f>
        <v>0.28733604737382612</v>
      </c>
    </row>
    <row r="44" spans="2:18" x14ac:dyDescent="0.2">
      <c r="B44" s="118"/>
      <c r="C44" s="119" t="s">
        <v>48</v>
      </c>
      <c r="D44" s="120">
        <v>212</v>
      </c>
      <c r="E44" s="147">
        <v>125.31</v>
      </c>
      <c r="F44" s="122">
        <f t="shared" si="3"/>
        <v>0.12407667782244493</v>
      </c>
      <c r="G44" s="148">
        <f>SUM(E45:E$51)/$E$52</f>
        <v>0.52462522526090671</v>
      </c>
      <c r="H44" s="124">
        <f>SUM(F45:F51)*100</f>
        <v>52.462522526090673</v>
      </c>
      <c r="I44" s="149">
        <f>($I$207-H44)/($I$207*(100-H44))*10000</f>
        <v>-17.274788380418936</v>
      </c>
      <c r="J44" s="143">
        <f>SUM($F$25:F29)</f>
        <v>0.5151875652621134</v>
      </c>
      <c r="K44" s="143">
        <f t="shared" ref="K44:K50" si="4">1-J44</f>
        <v>0.4848124347378866</v>
      </c>
      <c r="L44" s="143">
        <f>SUM($F$40:F44)</f>
        <v>0.47537477473909351</v>
      </c>
      <c r="M44" s="143">
        <v>1</v>
      </c>
      <c r="N44" s="144">
        <f t="shared" ref="N44:N50" si="5">+(L44-J44)/(L44+M44-1)</f>
        <v>-8.3750322142925854E-2</v>
      </c>
      <c r="O44" s="145">
        <f t="shared" ref="O44:O50" si="6">1-N44</f>
        <v>1.0837503221429259</v>
      </c>
      <c r="P44" s="144">
        <f t="shared" ref="P44:P49" si="7">+N44*M44/K44</f>
        <v>-0.17274788380418787</v>
      </c>
      <c r="Q44" s="144">
        <f t="shared" ref="Q44:Q49" si="8">+O44*L44/J44</f>
        <v>1</v>
      </c>
      <c r="R44" s="146">
        <f>+N44*M44+O44*L44</f>
        <v>0.43143724311918752</v>
      </c>
    </row>
    <row r="45" spans="2:18" x14ac:dyDescent="0.2">
      <c r="B45" s="118"/>
      <c r="C45" s="119" t="s">
        <v>49</v>
      </c>
      <c r="D45" s="125">
        <v>180</v>
      </c>
      <c r="E45" s="150">
        <v>43.12</v>
      </c>
      <c r="F45" s="113">
        <f t="shared" si="3"/>
        <v>4.2695605679545327E-2</v>
      </c>
      <c r="G45" s="142">
        <f>SUM(E46:E$51)/$E$52</f>
        <v>0.48192961958136138</v>
      </c>
      <c r="J45" s="143">
        <f>SUM($F$25:F30)</f>
        <v>0.55620204371068038</v>
      </c>
      <c r="K45" s="143">
        <f t="shared" si="4"/>
        <v>0.44379795628931962</v>
      </c>
      <c r="L45" s="143">
        <f>SUM($F$40:F45)</f>
        <v>0.51807038041863884</v>
      </c>
      <c r="M45" s="143">
        <v>1</v>
      </c>
      <c r="N45" s="144">
        <f t="shared" si="5"/>
        <v>-7.3603249159367806E-2</v>
      </c>
      <c r="O45" s="145">
        <f t="shared" si="6"/>
        <v>1.0736032491593679</v>
      </c>
      <c r="P45" s="144">
        <f t="shared" si="7"/>
        <v>-0.16584855364089277</v>
      </c>
      <c r="Q45" s="144">
        <f t="shared" si="8"/>
        <v>1</v>
      </c>
      <c r="R45" s="146">
        <f>+N45*M45+O45*L45</f>
        <v>0.4825987945513126</v>
      </c>
    </row>
    <row r="46" spans="2:18" x14ac:dyDescent="0.2">
      <c r="B46" s="118"/>
      <c r="C46" s="119" t="s">
        <v>50</v>
      </c>
      <c r="D46" s="125">
        <v>150</v>
      </c>
      <c r="E46" s="126">
        <v>57.41</v>
      </c>
      <c r="F46" s="113">
        <f t="shared" si="3"/>
        <v>5.6844961086797242E-2</v>
      </c>
      <c r="G46" s="142">
        <f>SUM(E47:E$51)/$E$52</f>
        <v>0.42508465849456406</v>
      </c>
      <c r="J46" s="143">
        <f>SUM($F$25:F31)</f>
        <v>0.6094091733205883</v>
      </c>
      <c r="K46" s="143">
        <f t="shared" si="4"/>
        <v>0.3905908266794117</v>
      </c>
      <c r="L46" s="143">
        <f>SUM($F$40:F46)</f>
        <v>0.57491534150543611</v>
      </c>
      <c r="M46" s="143">
        <v>1</v>
      </c>
      <c r="N46" s="144">
        <f t="shared" si="5"/>
        <v>-5.9998106373068558E-2</v>
      </c>
      <c r="O46" s="145">
        <f t="shared" si="6"/>
        <v>1.0599981063730686</v>
      </c>
      <c r="P46" s="144">
        <f t="shared" si="7"/>
        <v>-0.1536085905630182</v>
      </c>
      <c r="Q46" s="144">
        <f t="shared" si="8"/>
        <v>1</v>
      </c>
      <c r="R46" s="146">
        <f>+N46*M46+O46*L46</f>
        <v>0.54941106694751973</v>
      </c>
    </row>
    <row r="47" spans="2:18" x14ac:dyDescent="0.2">
      <c r="B47" s="118"/>
      <c r="C47" s="119" t="s">
        <v>51</v>
      </c>
      <c r="D47" s="125">
        <v>106</v>
      </c>
      <c r="E47" s="126">
        <v>88.03</v>
      </c>
      <c r="F47" s="113">
        <f t="shared" si="3"/>
        <v>8.7163593876863982E-2</v>
      </c>
      <c r="G47" s="142">
        <f>SUM(E48:E$51)/$E$52</f>
        <v>0.33792106461770011</v>
      </c>
      <c r="J47" s="143">
        <f>SUM($F$25:F32)</f>
        <v>0.70222293797696544</v>
      </c>
      <c r="K47" s="143">
        <f t="shared" si="4"/>
        <v>0.29777706202303456</v>
      </c>
      <c r="L47" s="143">
        <f>SUM($F$40:F47)</f>
        <v>0.66207893538230012</v>
      </c>
      <c r="M47" s="143">
        <v>1</v>
      </c>
      <c r="N47" s="144">
        <f t="shared" si="5"/>
        <v>-6.0633257530667728E-2</v>
      </c>
      <c r="O47" s="145">
        <f t="shared" si="6"/>
        <v>1.0606332575306676</v>
      </c>
      <c r="P47" s="144">
        <f t="shared" si="7"/>
        <v>-0.20361963785503881</v>
      </c>
      <c r="Q47" s="144">
        <f t="shared" si="8"/>
        <v>0.99999999999999989</v>
      </c>
      <c r="R47" s="146">
        <f t="shared" ref="R47" si="9">+N47*M47+O47*L47</f>
        <v>0.64158968044629761</v>
      </c>
    </row>
    <row r="48" spans="2:18" x14ac:dyDescent="0.2">
      <c r="B48" s="118"/>
      <c r="C48" s="119" t="s">
        <v>52</v>
      </c>
      <c r="D48" s="125">
        <v>75</v>
      </c>
      <c r="E48" s="126">
        <v>63.4</v>
      </c>
      <c r="F48" s="113">
        <f t="shared" si="3"/>
        <v>6.2776006495435382E-2</v>
      </c>
      <c r="G48" s="142">
        <f>SUM(E49:E$51)/$E$52</f>
        <v>0.27514505812226475</v>
      </c>
      <c r="J48" s="143">
        <f>SUM($F$25:F33)</f>
        <v>0.76456806221524942</v>
      </c>
      <c r="K48" s="143">
        <f t="shared" si="4"/>
        <v>0.23543193778475058</v>
      </c>
      <c r="L48" s="143">
        <f>SUM($F$40:F48)</f>
        <v>0.72485494187773547</v>
      </c>
      <c r="M48" s="143">
        <v>1</v>
      </c>
      <c r="N48" s="144">
        <f t="shared" si="5"/>
        <v>-5.478767963509662E-2</v>
      </c>
      <c r="O48" s="145">
        <f t="shared" si="6"/>
        <v>1.0547876796350966</v>
      </c>
      <c r="P48" s="144">
        <f t="shared" si="7"/>
        <v>-0.23271133114143416</v>
      </c>
      <c r="Q48" s="144">
        <f t="shared" si="8"/>
        <v>1</v>
      </c>
      <c r="R48" s="146">
        <f>+N48*M48+O48*L48</f>
        <v>0.70978038258015275</v>
      </c>
    </row>
    <row r="49" spans="2:18" x14ac:dyDescent="0.2">
      <c r="B49" s="118"/>
      <c r="C49" s="119" t="s">
        <v>53</v>
      </c>
      <c r="D49" s="125">
        <v>53</v>
      </c>
      <c r="E49" s="126">
        <v>54.58</v>
      </c>
      <c r="F49" s="113">
        <f t="shared" si="3"/>
        <v>5.4042814424619293E-2</v>
      </c>
      <c r="G49" s="142">
        <f>SUM(E50:E$51)/$E$52</f>
        <v>0.22110224369764545</v>
      </c>
      <c r="J49" s="143">
        <f>SUM($F$25:F34)</f>
        <v>0.8132711319372653</v>
      </c>
      <c r="K49" s="143">
        <f t="shared" si="4"/>
        <v>0.1867288680627347</v>
      </c>
      <c r="L49" s="143">
        <f>SUM($F$40:F49)</f>
        <v>0.7788977563023548</v>
      </c>
      <c r="M49" s="143">
        <v>1</v>
      </c>
      <c r="N49" s="144">
        <f t="shared" si="5"/>
        <v>-4.4130792978645257E-2</v>
      </c>
      <c r="O49" s="145">
        <f t="shared" si="6"/>
        <v>1.0441307929786452</v>
      </c>
      <c r="P49" s="144">
        <f t="shared" si="7"/>
        <v>-0.23633621001664712</v>
      </c>
      <c r="Q49" s="144">
        <f t="shared" si="8"/>
        <v>1</v>
      </c>
      <c r="R49" s="146">
        <f>+N49*M49+O49*L49</f>
        <v>0.76914033895862</v>
      </c>
    </row>
    <row r="50" spans="2:18" x14ac:dyDescent="0.2">
      <c r="B50" s="118"/>
      <c r="C50" s="119" t="s">
        <v>54</v>
      </c>
      <c r="D50" s="125">
        <v>38</v>
      </c>
      <c r="E50" s="126">
        <v>32.14</v>
      </c>
      <c r="F50" s="113">
        <f t="shared" si="3"/>
        <v>3.1823672693427341E-2</v>
      </c>
      <c r="G50" s="142">
        <f>SUM(E51:E$51)/$E$52</f>
        <v>0.1892785710042181</v>
      </c>
      <c r="J50" s="143">
        <f>SUM($F$25:F35)</f>
        <v>0.83470567760905601</v>
      </c>
      <c r="K50" s="143">
        <f t="shared" si="4"/>
        <v>0.16529432239094399</v>
      </c>
      <c r="L50" s="143">
        <f>SUM($F$40:F50)</f>
        <v>0.81072142899578215</v>
      </c>
      <c r="M50" s="143">
        <v>1</v>
      </c>
      <c r="N50" s="144">
        <f t="shared" si="5"/>
        <v>-2.9583834539790667E-2</v>
      </c>
      <c r="O50" s="145">
        <f t="shared" si="6"/>
        <v>1.0295838345397907</v>
      </c>
      <c r="P50" s="144">
        <f>+N50*M50/K50</f>
        <v>-0.17897671324621056</v>
      </c>
      <c r="Q50" s="144">
        <f>+O50*L50/J50</f>
        <v>1.0000000000000002</v>
      </c>
      <c r="R50" s="146">
        <f>+N50*M50+O50*L50</f>
        <v>0.80512184306926549</v>
      </c>
    </row>
    <row r="51" spans="2:18" x14ac:dyDescent="0.2">
      <c r="B51" s="127"/>
      <c r="C51" s="128">
        <v>-38</v>
      </c>
      <c r="D51" s="129"/>
      <c r="E51" s="130">
        <f>8.13+183.03</f>
        <v>191.16</v>
      </c>
      <c r="F51" s="113">
        <f t="shared" si="3"/>
        <v>0.1892785710042181</v>
      </c>
      <c r="G51" s="131"/>
    </row>
    <row r="52" spans="2:18" x14ac:dyDescent="0.2">
      <c r="B52" s="132"/>
      <c r="C52" s="133" t="s">
        <v>55</v>
      </c>
      <c r="D52" s="134"/>
      <c r="E52" s="135">
        <f>SUM(E40:E51)</f>
        <v>1009.9399999999998</v>
      </c>
      <c r="F52" s="136">
        <f t="shared" si="3"/>
        <v>1</v>
      </c>
      <c r="G52" s="135"/>
    </row>
    <row r="53" spans="2:18" x14ac:dyDescent="0.2">
      <c r="C53" s="137"/>
      <c r="D53" s="138"/>
      <c r="E53" s="139"/>
      <c r="F53" s="140"/>
      <c r="G53" s="139"/>
    </row>
    <row r="54" spans="2:18" ht="12" thickBot="1" x14ac:dyDescent="0.25">
      <c r="B54" s="106" t="s">
        <v>23</v>
      </c>
      <c r="C54" s="177" t="s">
        <v>24</v>
      </c>
      <c r="D54" s="178"/>
      <c r="E54" s="107" t="s">
        <v>25</v>
      </c>
      <c r="F54" s="108" t="s">
        <v>26</v>
      </c>
      <c r="G54" s="107" t="s">
        <v>27</v>
      </c>
    </row>
    <row r="55" spans="2:18" ht="23.25" thickTop="1" x14ac:dyDescent="0.2">
      <c r="B55" s="109" t="str">
        <f>D10&amp;" "&amp;"("&amp;D11&amp;")"</f>
        <v>SC-013 feed to deck2 (DI-049)</v>
      </c>
      <c r="C55" s="110" t="s">
        <v>43</v>
      </c>
      <c r="D55" s="111">
        <v>1180</v>
      </c>
      <c r="E55" s="112">
        <v>53</v>
      </c>
      <c r="F55" s="113">
        <f>E55/$E$67</f>
        <v>4.5364672047658587E-2</v>
      </c>
      <c r="G55" s="114">
        <f>SUM(E56:E$66)/$E$67</f>
        <v>0.95463532795234141</v>
      </c>
    </row>
    <row r="56" spans="2:18" x14ac:dyDescent="0.2">
      <c r="B56" s="115" t="s">
        <v>44</v>
      </c>
      <c r="C56" s="111" t="s">
        <v>45</v>
      </c>
      <c r="D56" s="111">
        <v>600</v>
      </c>
      <c r="E56" s="112">
        <v>133.22</v>
      </c>
      <c r="F56" s="113">
        <f t="shared" ref="F56:F67" si="10">E56/$E$67</f>
        <v>0.11402795490922786</v>
      </c>
      <c r="G56" s="114">
        <f>SUM(E57:E$66)/$E$67</f>
        <v>0.84060737304311361</v>
      </c>
    </row>
    <row r="57" spans="2:18" x14ac:dyDescent="0.2">
      <c r="B57" s="117">
        <f>FORECAST(0.8,D56:D57,G56:G57)</f>
        <v>534.14491948917248</v>
      </c>
      <c r="C57" s="111" t="s">
        <v>46</v>
      </c>
      <c r="D57" s="111">
        <v>425</v>
      </c>
      <c r="E57" s="112">
        <v>126.07</v>
      </c>
      <c r="F57" s="113">
        <f t="shared" si="10"/>
        <v>0.10790800386883619</v>
      </c>
      <c r="G57" s="114">
        <f>SUM(E58:E$66)/$E$67</f>
        <v>0.73269936917427747</v>
      </c>
    </row>
    <row r="58" spans="2:18" x14ac:dyDescent="0.2">
      <c r="B58" s="118"/>
      <c r="C58" s="111" t="s">
        <v>47</v>
      </c>
      <c r="D58" s="111">
        <v>300</v>
      </c>
      <c r="E58" s="112">
        <v>162.94999999999999</v>
      </c>
      <c r="F58" s="113">
        <f t="shared" si="10"/>
        <v>0.13947496811633897</v>
      </c>
      <c r="G58" s="114">
        <f>SUM(E59:E$66)/$E$67</f>
        <v>0.59322440105793839</v>
      </c>
      <c r="H58" s="116"/>
      <c r="J58" s="143">
        <f t="shared" ref="J58:J65" si="11">J43</f>
        <v>0.38593611196251287</v>
      </c>
      <c r="K58" s="143">
        <f>1-J58</f>
        <v>0.61406388803748713</v>
      </c>
      <c r="L58" s="143">
        <f>SUM($F$55:F58)</f>
        <v>0.40677559894206161</v>
      </c>
      <c r="M58" s="143">
        <v>1</v>
      </c>
      <c r="N58" s="144">
        <f>+(L58-J58)/(L58+M58-1)</f>
        <v>5.1230917079952414E-2</v>
      </c>
      <c r="O58" s="145">
        <f>1-N58</f>
        <v>0.94876908292004758</v>
      </c>
      <c r="P58" s="144">
        <f>+N58*M58/K58</f>
        <v>8.3429294700399143E-2</v>
      </c>
      <c r="Q58" s="144">
        <f>+O58*L58/J58</f>
        <v>1</v>
      </c>
      <c r="R58" s="146">
        <f>+N58*M58+O58*L58</f>
        <v>0.43716702904246529</v>
      </c>
    </row>
    <row r="59" spans="2:18" x14ac:dyDescent="0.2">
      <c r="B59" s="118"/>
      <c r="C59" s="119" t="s">
        <v>48</v>
      </c>
      <c r="D59" s="120">
        <v>212</v>
      </c>
      <c r="E59" s="121">
        <v>147.27000000000001</v>
      </c>
      <c r="F59" s="122">
        <f t="shared" si="10"/>
        <v>0.12605387268789964</v>
      </c>
      <c r="G59" s="123">
        <f>SUM(E60:E$66)/$E$67</f>
        <v>0.46717052837003875</v>
      </c>
      <c r="H59" s="124">
        <f>SUM(F60:F66)*100</f>
        <v>46.717052837003884</v>
      </c>
      <c r="I59" s="116">
        <f>($I$207-H59)/($I$207*(100-H59))*10000</f>
        <v>6.8294153149527812</v>
      </c>
      <c r="J59" s="143">
        <f t="shared" si="11"/>
        <v>0.5151875652621134</v>
      </c>
      <c r="K59" s="143">
        <f t="shared" ref="K59:K65" si="12">1-J59</f>
        <v>0.4848124347378866</v>
      </c>
      <c r="L59" s="143">
        <f>SUM($F$55:F59)</f>
        <v>0.5328294716299613</v>
      </c>
      <c r="M59" s="143">
        <v>1</v>
      </c>
      <c r="N59" s="144">
        <f t="shared" ref="N59:N65" si="13">+(L59-J59)/(L59+M59-1)</f>
        <v>3.310985466678508E-2</v>
      </c>
      <c r="O59" s="145">
        <f t="shared" ref="O59:O65" si="14">1-N59</f>
        <v>0.96689014533321493</v>
      </c>
      <c r="P59" s="144">
        <f t="shared" ref="P59:P65" si="15">+N59*M59/K59</f>
        <v>6.8294153149528622E-2</v>
      </c>
      <c r="Q59" s="144">
        <f t="shared" ref="Q59:Q65" si="16">+O59*L59/J59</f>
        <v>1</v>
      </c>
      <c r="R59" s="146">
        <f t="shared" ref="R59:R65" si="17">+N59*M59+O59*L59</f>
        <v>0.54829741992889847</v>
      </c>
    </row>
    <row r="60" spans="2:18" x14ac:dyDescent="0.2">
      <c r="B60" s="118"/>
      <c r="C60" s="119" t="s">
        <v>49</v>
      </c>
      <c r="D60" s="125">
        <v>180</v>
      </c>
      <c r="E60" s="126">
        <v>57.4</v>
      </c>
      <c r="F60" s="113">
        <f t="shared" si="10"/>
        <v>4.9130795764822696E-2</v>
      </c>
      <c r="G60" s="114">
        <f>SUM(E61:E$66)/$E$67</f>
        <v>0.4180397326052161</v>
      </c>
      <c r="J60" s="143">
        <f t="shared" si="11"/>
        <v>0.55620204371068038</v>
      </c>
      <c r="K60" s="143">
        <f t="shared" si="12"/>
        <v>0.44379795628931962</v>
      </c>
      <c r="L60" s="143">
        <f>SUM($F$55:F60)</f>
        <v>0.58196026739478401</v>
      </c>
      <c r="M60" s="143">
        <v>1</v>
      </c>
      <c r="N60" s="144">
        <f t="shared" si="13"/>
        <v>4.4261137962929069E-2</v>
      </c>
      <c r="O60" s="145">
        <f t="shared" si="14"/>
        <v>0.95573886203707092</v>
      </c>
      <c r="P60" s="144">
        <f t="shared" si="15"/>
        <v>9.9732631337478408E-2</v>
      </c>
      <c r="Q60" s="144">
        <f t="shared" si="16"/>
        <v>1</v>
      </c>
      <c r="R60" s="146">
        <f t="shared" si="17"/>
        <v>0.60046318167360946</v>
      </c>
    </row>
    <row r="61" spans="2:18" x14ac:dyDescent="0.2">
      <c r="B61" s="118"/>
      <c r="C61" s="119" t="s">
        <v>50</v>
      </c>
      <c r="D61" s="125">
        <v>150</v>
      </c>
      <c r="E61" s="126">
        <v>54.4</v>
      </c>
      <c r="F61" s="113">
        <f t="shared" si="10"/>
        <v>4.6562984139483531E-2</v>
      </c>
      <c r="G61" s="114">
        <f>SUM(E62:E$66)/$E$67</f>
        <v>0.37147674846573259</v>
      </c>
      <c r="J61" s="143">
        <f t="shared" si="11"/>
        <v>0.6094091733205883</v>
      </c>
      <c r="K61" s="143">
        <f t="shared" si="12"/>
        <v>0.3905908266794117</v>
      </c>
      <c r="L61" s="143">
        <f>SUM($F$55:F61)</f>
        <v>0.62852325153426758</v>
      </c>
      <c r="M61" s="143">
        <v>1</v>
      </c>
      <c r="N61" s="144">
        <f t="shared" si="13"/>
        <v>3.0411091661319646E-2</v>
      </c>
      <c r="O61" s="145">
        <f t="shared" si="14"/>
        <v>0.96958890833868039</v>
      </c>
      <c r="P61" s="144">
        <f t="shared" si="15"/>
        <v>7.7859206064458855E-2</v>
      </c>
      <c r="Q61" s="144">
        <f t="shared" si="16"/>
        <v>1</v>
      </c>
      <c r="R61" s="146">
        <f t="shared" si="17"/>
        <v>0.63982026498190792</v>
      </c>
    </row>
    <row r="62" spans="2:18" x14ac:dyDescent="0.2">
      <c r="B62" s="118"/>
      <c r="C62" s="119" t="s">
        <v>51</v>
      </c>
      <c r="D62" s="125">
        <v>106</v>
      </c>
      <c r="E62" s="126">
        <v>93.96</v>
      </c>
      <c r="F62" s="113">
        <f t="shared" si="10"/>
        <v>8.0423860105622649E-2</v>
      </c>
      <c r="G62" s="114">
        <f>SUM(E63:E$66)/$E$67</f>
        <v>0.2910528883601099</v>
      </c>
      <c r="J62" s="143">
        <f t="shared" si="11"/>
        <v>0.70222293797696544</v>
      </c>
      <c r="K62" s="143">
        <f t="shared" si="12"/>
        <v>0.29777706202303456</v>
      </c>
      <c r="L62" s="143">
        <f>SUM($F$55:F62)</f>
        <v>0.70894711163989022</v>
      </c>
      <c r="M62" s="143">
        <v>1</v>
      </c>
      <c r="N62" s="144">
        <f t="shared" si="13"/>
        <v>9.4847324328197775E-3</v>
      </c>
      <c r="O62" s="145">
        <f t="shared" si="14"/>
        <v>0.99051526756718022</v>
      </c>
      <c r="P62" s="144">
        <f t="shared" si="15"/>
        <v>3.1851789954479723E-2</v>
      </c>
      <c r="Q62" s="144">
        <f t="shared" si="16"/>
        <v>1</v>
      </c>
      <c r="R62" s="146">
        <f t="shared" si="17"/>
        <v>0.71170767040978522</v>
      </c>
    </row>
    <row r="63" spans="2:18" x14ac:dyDescent="0.2">
      <c r="B63" s="118"/>
      <c r="C63" s="119" t="s">
        <v>52</v>
      </c>
      <c r="D63" s="125">
        <v>75</v>
      </c>
      <c r="E63" s="126">
        <v>65.28</v>
      </c>
      <c r="F63" s="113">
        <f t="shared" si="10"/>
        <v>5.5875580967380239E-2</v>
      </c>
      <c r="G63" s="114">
        <f>SUM(E64:E$66)/$E$67</f>
        <v>0.23517730739272968</v>
      </c>
      <c r="J63" s="143">
        <f t="shared" si="11"/>
        <v>0.76456806221524942</v>
      </c>
      <c r="K63" s="143">
        <f t="shared" si="12"/>
        <v>0.23543193778475058</v>
      </c>
      <c r="L63" s="143">
        <f>SUM($F$55:F63)</f>
        <v>0.76482269260727043</v>
      </c>
      <c r="M63" s="143">
        <v>1</v>
      </c>
      <c r="N63" s="144">
        <f t="shared" si="13"/>
        <v>3.329273496749594E-4</v>
      </c>
      <c r="O63" s="145">
        <f t="shared" si="14"/>
        <v>0.99966707265032506</v>
      </c>
      <c r="P63" s="144">
        <f t="shared" si="15"/>
        <v>1.4141129398482308E-3</v>
      </c>
      <c r="Q63" s="144">
        <f t="shared" si="16"/>
        <v>1</v>
      </c>
      <c r="R63" s="146">
        <f t="shared" si="17"/>
        <v>0.76490098956492436</v>
      </c>
    </row>
    <row r="64" spans="2:18" x14ac:dyDescent="0.2">
      <c r="B64" s="118"/>
      <c r="C64" s="119" t="s">
        <v>53</v>
      </c>
      <c r="D64" s="125">
        <v>53</v>
      </c>
      <c r="E64" s="126">
        <v>60.96</v>
      </c>
      <c r="F64" s="113">
        <f t="shared" si="10"/>
        <v>5.2177932226891835E-2</v>
      </c>
      <c r="G64" s="114">
        <f>SUM(E65:E$66)/$E$67</f>
        <v>0.18299937516583786</v>
      </c>
      <c r="J64" s="143">
        <f t="shared" si="11"/>
        <v>0.8132711319372653</v>
      </c>
      <c r="K64" s="143">
        <f t="shared" si="12"/>
        <v>0.1867288680627347</v>
      </c>
      <c r="L64" s="143">
        <f>SUM($F$55:F64)</f>
        <v>0.81700062483416225</v>
      </c>
      <c r="M64" s="143">
        <v>1</v>
      </c>
      <c r="N64" s="144">
        <f t="shared" si="13"/>
        <v>4.5648592957367347E-3</v>
      </c>
      <c r="O64" s="145">
        <f t="shared" si="14"/>
        <v>0.99543514070426331</v>
      </c>
      <c r="P64" s="144">
        <f t="shared" si="15"/>
        <v>2.4446457278384473E-2</v>
      </c>
      <c r="Q64" s="144">
        <f t="shared" si="16"/>
        <v>1</v>
      </c>
      <c r="R64" s="146">
        <f t="shared" si="17"/>
        <v>0.81783599123300199</v>
      </c>
    </row>
    <row r="65" spans="2:18" x14ac:dyDescent="0.2">
      <c r="B65" s="118"/>
      <c r="C65" s="119" t="s">
        <v>54</v>
      </c>
      <c r="D65" s="125">
        <v>38</v>
      </c>
      <c r="E65" s="126">
        <v>33.08</v>
      </c>
      <c r="F65" s="113">
        <f t="shared" si="10"/>
        <v>2.8314402855406526E-2</v>
      </c>
      <c r="G65" s="114">
        <f>SUM(E66:E$66)/$E$67</f>
        <v>0.15468497231043132</v>
      </c>
      <c r="J65" s="143">
        <f t="shared" si="11"/>
        <v>0.83470567760905601</v>
      </c>
      <c r="K65" s="143">
        <f t="shared" si="12"/>
        <v>0.16529432239094399</v>
      </c>
      <c r="L65" s="143">
        <f>SUM($F$55:F65)</f>
        <v>0.84531502768956879</v>
      </c>
      <c r="M65" s="143">
        <v>1</v>
      </c>
      <c r="N65" s="144">
        <f t="shared" si="13"/>
        <v>1.2550764783527462E-2</v>
      </c>
      <c r="O65" s="145">
        <f t="shared" si="14"/>
        <v>0.98744923521647254</v>
      </c>
      <c r="P65" s="144">
        <f t="shared" si="15"/>
        <v>7.5929799656658276E-2</v>
      </c>
      <c r="Q65" s="144">
        <f t="shared" si="16"/>
        <v>1</v>
      </c>
      <c r="R65" s="146">
        <f t="shared" si="17"/>
        <v>0.84725644239258346</v>
      </c>
    </row>
    <row r="66" spans="2:18" x14ac:dyDescent="0.2">
      <c r="B66" s="127"/>
      <c r="C66" s="128">
        <v>-38</v>
      </c>
      <c r="D66" s="129"/>
      <c r="E66" s="130">
        <f>10.44+170.28</f>
        <v>180.72</v>
      </c>
      <c r="F66" s="113">
        <f t="shared" si="10"/>
        <v>0.15468497231043132</v>
      </c>
      <c r="G66" s="131"/>
    </row>
    <row r="67" spans="2:18" x14ac:dyDescent="0.2">
      <c r="B67" s="132"/>
      <c r="C67" s="133" t="s">
        <v>55</v>
      </c>
      <c r="D67" s="134"/>
      <c r="E67" s="135">
        <f>SUM(E55:E66)</f>
        <v>1168.31</v>
      </c>
      <c r="F67" s="136">
        <f t="shared" si="10"/>
        <v>1</v>
      </c>
      <c r="G67" s="135"/>
    </row>
    <row r="68" spans="2:18" x14ac:dyDescent="0.2">
      <c r="C68" s="137"/>
      <c r="D68" s="138"/>
      <c r="E68" s="139"/>
      <c r="F68" s="140"/>
      <c r="G68" s="139"/>
    </row>
    <row r="69" spans="2:18" ht="12" thickBot="1" x14ac:dyDescent="0.25">
      <c r="B69" s="106" t="s">
        <v>23</v>
      </c>
      <c r="C69" s="177" t="s">
        <v>24</v>
      </c>
      <c r="D69" s="178"/>
      <c r="E69" s="107" t="s">
        <v>25</v>
      </c>
      <c r="F69" s="108" t="s">
        <v>26</v>
      </c>
      <c r="G69" s="107" t="s">
        <v>27</v>
      </c>
    </row>
    <row r="70" spans="2:18" ht="23.25" thickTop="1" x14ac:dyDescent="0.2">
      <c r="B70" s="109" t="str">
        <f>E10&amp;" "&amp;"("&amp;E11&amp;")"</f>
        <v>SC-013 feed to deck3 (DI-049)</v>
      </c>
      <c r="C70" s="110" t="s">
        <v>43</v>
      </c>
      <c r="D70" s="111">
        <v>1180</v>
      </c>
      <c r="E70" s="112">
        <v>19.28</v>
      </c>
      <c r="F70" s="113">
        <f>E70/$E$82</f>
        <v>2.5677565425850705E-2</v>
      </c>
      <c r="G70" s="142">
        <f>SUM(E71:E$81)/$E$82</f>
        <v>0.97432243457414935</v>
      </c>
    </row>
    <row r="71" spans="2:18" x14ac:dyDescent="0.2">
      <c r="B71" s="115" t="s">
        <v>44</v>
      </c>
      <c r="C71" s="111" t="s">
        <v>45</v>
      </c>
      <c r="D71" s="111">
        <v>600</v>
      </c>
      <c r="E71" s="112">
        <v>56.86</v>
      </c>
      <c r="F71" s="113">
        <f t="shared" ref="F71:F82" si="18">E71/$E$82</f>
        <v>7.5727508823333553E-2</v>
      </c>
      <c r="G71" s="142">
        <f>SUM(E72:E$81)/$E$82</f>
        <v>0.89859492575081579</v>
      </c>
    </row>
    <row r="72" spans="2:18" x14ac:dyDescent="0.2">
      <c r="B72" s="117">
        <f>FORECAST(0.8,D72:D73,G72:G73)</f>
        <v>409.10981697171383</v>
      </c>
      <c r="C72" s="111" t="s">
        <v>46</v>
      </c>
      <c r="D72" s="111">
        <v>425</v>
      </c>
      <c r="E72" s="112">
        <v>62.57</v>
      </c>
      <c r="F72" s="113">
        <f t="shared" si="18"/>
        <v>8.3332223480055936E-2</v>
      </c>
      <c r="G72" s="142">
        <f>SUM(E73:E$81)/$E$82</f>
        <v>0.81526270227075981</v>
      </c>
    </row>
    <row r="73" spans="2:18" x14ac:dyDescent="0.2">
      <c r="B73" s="118"/>
      <c r="C73" s="111" t="s">
        <v>47</v>
      </c>
      <c r="D73" s="111">
        <v>300</v>
      </c>
      <c r="E73" s="112">
        <v>90.15</v>
      </c>
      <c r="F73" s="113">
        <f t="shared" si="18"/>
        <v>0.12006392754877805</v>
      </c>
      <c r="G73" s="142">
        <f>SUM(E74:E$81)/$E$82</f>
        <v>0.69519877472198177</v>
      </c>
      <c r="H73" s="116"/>
      <c r="J73" s="143">
        <f t="shared" ref="J73:J80" si="19">J58</f>
        <v>0.38593611196251287</v>
      </c>
      <c r="K73" s="143">
        <f>1-J73</f>
        <v>0.61406388803748713</v>
      </c>
      <c r="L73" s="143">
        <f>SUM($F$70:F73)</f>
        <v>0.30480122527801823</v>
      </c>
      <c r="M73" s="143">
        <v>1</v>
      </c>
      <c r="N73" s="144">
        <f>+(L73-J73)/(L73+M73-1)</f>
        <v>-0.26618950304576067</v>
      </c>
      <c r="O73" s="145">
        <f>1-N73</f>
        <v>1.2661895030457606</v>
      </c>
      <c r="P73" s="144">
        <f>+N73*M73/K73</f>
        <v>-0.43348828718211557</v>
      </c>
      <c r="Q73" s="144">
        <f>+O73*L73/J73</f>
        <v>0.99999999999999989</v>
      </c>
      <c r="R73" s="146">
        <f>+N73*M73+O73*L73</f>
        <v>0.11974660891675215</v>
      </c>
    </row>
    <row r="74" spans="2:18" x14ac:dyDescent="0.2">
      <c r="B74" s="118"/>
      <c r="C74" s="119" t="s">
        <v>48</v>
      </c>
      <c r="D74" s="120">
        <v>212</v>
      </c>
      <c r="E74" s="121">
        <v>96.17</v>
      </c>
      <c r="F74" s="122">
        <f t="shared" si="18"/>
        <v>0.128081507624692</v>
      </c>
      <c r="G74" s="148">
        <f>SUM(E75:E$81)/$E$82</f>
        <v>0.56711726709728982</v>
      </c>
      <c r="H74" s="124">
        <f>SUM(F75:F81)*100</f>
        <v>56.711726709728971</v>
      </c>
      <c r="I74" s="116">
        <f>($I$207-H74)/($I$207*(100-H74))*10000</f>
        <v>-39.217627901089337</v>
      </c>
      <c r="J74" s="143">
        <f t="shared" si="19"/>
        <v>0.5151875652621134</v>
      </c>
      <c r="K74" s="143">
        <f t="shared" ref="K74:K80" si="20">1-J74</f>
        <v>0.4848124347378866</v>
      </c>
      <c r="L74" s="143">
        <f>SUM($F$70:F74)</f>
        <v>0.43288273290271023</v>
      </c>
      <c r="M74" s="143">
        <v>1</v>
      </c>
      <c r="N74" s="144">
        <f t="shared" ref="N74:N80" si="21">+(L74-J74)/(L74+M74-1)</f>
        <v>-0.19013193667371586</v>
      </c>
      <c r="O74" s="145">
        <f t="shared" ref="O74:O80" si="22">1-N74</f>
        <v>1.190131936673716</v>
      </c>
      <c r="P74" s="144">
        <f t="shared" ref="P74:P80" si="23">+N74*M74/K74</f>
        <v>-0.39217627901089319</v>
      </c>
      <c r="Q74" s="144">
        <f t="shared" ref="Q74:Q80" si="24">+O74*L74/J74</f>
        <v>1</v>
      </c>
      <c r="R74" s="146">
        <f t="shared" ref="R74:R80" si="25">+N74*M74+O74*L74</f>
        <v>0.32505562858839754</v>
      </c>
    </row>
    <row r="75" spans="2:18" x14ac:dyDescent="0.2">
      <c r="B75" s="118"/>
      <c r="C75" s="119" t="s">
        <v>49</v>
      </c>
      <c r="D75" s="125">
        <v>180</v>
      </c>
      <c r="E75" s="126">
        <v>31.49</v>
      </c>
      <c r="F75" s="113">
        <f t="shared" si="18"/>
        <v>4.1939135646267563E-2</v>
      </c>
      <c r="G75" s="142">
        <f>SUM(E76:E$81)/$E$82</f>
        <v>0.52517813145102221</v>
      </c>
      <c r="J75" s="143">
        <f t="shared" si="19"/>
        <v>0.55620204371068038</v>
      </c>
      <c r="K75" s="143">
        <f t="shared" si="20"/>
        <v>0.44379795628931962</v>
      </c>
      <c r="L75" s="143">
        <f>SUM($F$70:F75)</f>
        <v>0.47482186854897779</v>
      </c>
      <c r="M75" s="143">
        <v>1</v>
      </c>
      <c r="N75" s="144">
        <f t="shared" si="21"/>
        <v>-0.17139095848806349</v>
      </c>
      <c r="O75" s="145">
        <f t="shared" si="22"/>
        <v>1.1713909584880635</v>
      </c>
      <c r="P75" s="144">
        <f t="shared" si="23"/>
        <v>-0.38619140998551771</v>
      </c>
      <c r="Q75" s="144">
        <f t="shared" si="24"/>
        <v>1</v>
      </c>
      <c r="R75" s="146">
        <f t="shared" si="25"/>
        <v>0.38481108522261687</v>
      </c>
    </row>
    <row r="76" spans="2:18" x14ac:dyDescent="0.2">
      <c r="B76" s="118"/>
      <c r="C76" s="119" t="s">
        <v>50</v>
      </c>
      <c r="D76" s="125">
        <v>150</v>
      </c>
      <c r="E76" s="126">
        <v>42.01</v>
      </c>
      <c r="F76" s="113">
        <f t="shared" si="18"/>
        <v>5.5949923420123858E-2</v>
      </c>
      <c r="G76" s="142">
        <f>SUM(E77:E$81)/$E$82</f>
        <v>0.46922820803089837</v>
      </c>
      <c r="J76" s="143">
        <f t="shared" si="19"/>
        <v>0.6094091733205883</v>
      </c>
      <c r="K76" s="143">
        <f t="shared" si="20"/>
        <v>0.3905908266794117</v>
      </c>
      <c r="L76" s="143">
        <f>SUM($F$70:F76)</f>
        <v>0.53077179196910163</v>
      </c>
      <c r="M76" s="143">
        <v>1</v>
      </c>
      <c r="N76" s="144">
        <f t="shared" si="21"/>
        <v>-0.14815667023251397</v>
      </c>
      <c r="O76" s="145">
        <f t="shared" si="22"/>
        <v>1.1481566702325139</v>
      </c>
      <c r="P76" s="144">
        <f t="shared" si="23"/>
        <v>-0.37931425961039705</v>
      </c>
      <c r="Q76" s="144">
        <f t="shared" si="24"/>
        <v>1</v>
      </c>
      <c r="R76" s="146">
        <f t="shared" si="25"/>
        <v>0.46125250308807431</v>
      </c>
    </row>
    <row r="77" spans="2:18" x14ac:dyDescent="0.2">
      <c r="B77" s="118"/>
      <c r="C77" s="119" t="s">
        <v>51</v>
      </c>
      <c r="D77" s="125">
        <v>106</v>
      </c>
      <c r="E77" s="126">
        <v>71.98</v>
      </c>
      <c r="F77" s="113">
        <f t="shared" si="18"/>
        <v>9.5864686688419798E-2</v>
      </c>
      <c r="G77" s="142">
        <f>SUM(E78:E$81)/$E$82</f>
        <v>0.37336352134247858</v>
      </c>
      <c r="J77" s="143">
        <f t="shared" si="19"/>
        <v>0.70222293797696544</v>
      </c>
      <c r="K77" s="143">
        <f t="shared" si="20"/>
        <v>0.29777706202303456</v>
      </c>
      <c r="L77" s="143">
        <f>SUM($F$70:F77)</f>
        <v>0.62663647865752137</v>
      </c>
      <c r="M77" s="143">
        <v>1</v>
      </c>
      <c r="N77" s="144">
        <f t="shared" si="21"/>
        <v>-0.12062250107331321</v>
      </c>
      <c r="O77" s="145">
        <f t="shared" si="22"/>
        <v>1.1206225010733133</v>
      </c>
      <c r="P77" s="144">
        <f t="shared" si="23"/>
        <v>-0.40507653696973628</v>
      </c>
      <c r="Q77" s="144">
        <f t="shared" si="24"/>
        <v>1.0000000000000002</v>
      </c>
      <c r="R77" s="146">
        <f t="shared" si="25"/>
        <v>0.58160043690365237</v>
      </c>
    </row>
    <row r="78" spans="2:18" x14ac:dyDescent="0.2">
      <c r="B78" s="118"/>
      <c r="C78" s="119" t="s">
        <v>52</v>
      </c>
      <c r="D78" s="125">
        <v>75</v>
      </c>
      <c r="E78" s="126">
        <v>46.48</v>
      </c>
      <c r="F78" s="113">
        <f t="shared" si="18"/>
        <v>6.1903176400079904E-2</v>
      </c>
      <c r="G78" s="142">
        <f>SUM(E79:E$81)/$E$82</f>
        <v>0.3114603449423986</v>
      </c>
      <c r="J78" s="143">
        <f t="shared" si="19"/>
        <v>0.76456806221524942</v>
      </c>
      <c r="K78" s="143">
        <f t="shared" si="20"/>
        <v>0.23543193778475058</v>
      </c>
      <c r="L78" s="143">
        <f>SUM($F$70:F78)</f>
        <v>0.68853965505760129</v>
      </c>
      <c r="M78" s="143">
        <v>1</v>
      </c>
      <c r="N78" s="144">
        <f t="shared" si="21"/>
        <v>-0.11041979441443764</v>
      </c>
      <c r="O78" s="145">
        <f t="shared" si="22"/>
        <v>1.1104197944144376</v>
      </c>
      <c r="P78" s="144">
        <f t="shared" si="23"/>
        <v>-0.46900941075968905</v>
      </c>
      <c r="Q78" s="144">
        <f t="shared" si="24"/>
        <v>1</v>
      </c>
      <c r="R78" s="146">
        <f t="shared" si="25"/>
        <v>0.65414826780081181</v>
      </c>
    </row>
    <row r="79" spans="2:18" x14ac:dyDescent="0.2">
      <c r="B79" s="118"/>
      <c r="C79" s="119" t="s">
        <v>53</v>
      </c>
      <c r="D79" s="125">
        <v>53</v>
      </c>
      <c r="E79" s="126">
        <v>45.14</v>
      </c>
      <c r="F79" s="113">
        <f t="shared" si="18"/>
        <v>6.0118532330025967E-2</v>
      </c>
      <c r="G79" s="142">
        <f>SUM(E80:E$81)/$E$82</f>
        <v>0.25134181261237265</v>
      </c>
      <c r="J79" s="143">
        <f t="shared" si="19"/>
        <v>0.8132711319372653</v>
      </c>
      <c r="K79" s="143">
        <f t="shared" si="20"/>
        <v>0.1867288680627347</v>
      </c>
      <c r="L79" s="143">
        <f>SUM($F$70:F79)</f>
        <v>0.74865818738762724</v>
      </c>
      <c r="M79" s="143">
        <v>1</v>
      </c>
      <c r="N79" s="144">
        <f t="shared" si="21"/>
        <v>-8.630499958211757E-2</v>
      </c>
      <c r="O79" s="145">
        <f t="shared" si="22"/>
        <v>1.0863049995821177</v>
      </c>
      <c r="P79" s="144">
        <f t="shared" si="23"/>
        <v>-0.4621941988804964</v>
      </c>
      <c r="Q79" s="144">
        <f t="shared" si="24"/>
        <v>1.0000000000000002</v>
      </c>
      <c r="R79" s="146">
        <f t="shared" si="25"/>
        <v>0.72696613235514784</v>
      </c>
    </row>
    <row r="80" spans="2:18" x14ac:dyDescent="0.2">
      <c r="B80" s="118"/>
      <c r="C80" s="119" t="s">
        <v>54</v>
      </c>
      <c r="D80" s="125">
        <v>38</v>
      </c>
      <c r="E80" s="126">
        <v>27.13</v>
      </c>
      <c r="F80" s="113">
        <f t="shared" si="18"/>
        <v>3.613238329892788E-2</v>
      </c>
      <c r="G80" s="142">
        <f>SUM(E81:E$81)/$E$82</f>
        <v>0.21520942931344475</v>
      </c>
      <c r="J80" s="143">
        <f t="shared" si="19"/>
        <v>0.83470567760905601</v>
      </c>
      <c r="K80" s="143">
        <f t="shared" si="20"/>
        <v>0.16529432239094399</v>
      </c>
      <c r="L80" s="143">
        <f>SUM($F$70:F80)</f>
        <v>0.78479057068655511</v>
      </c>
      <c r="M80" s="143">
        <v>1</v>
      </c>
      <c r="N80" s="144">
        <f t="shared" si="21"/>
        <v>-6.3603092069306949E-2</v>
      </c>
      <c r="O80" s="145">
        <f t="shared" si="22"/>
        <v>1.0636030920693069</v>
      </c>
      <c r="P80" s="144">
        <f t="shared" si="23"/>
        <v>-0.38478691312141272</v>
      </c>
      <c r="Q80" s="144">
        <f t="shared" si="24"/>
        <v>1</v>
      </c>
      <c r="R80" s="146">
        <f t="shared" si="25"/>
        <v>0.77110258553974909</v>
      </c>
    </row>
    <row r="81" spans="2:18" x14ac:dyDescent="0.2">
      <c r="B81" s="127"/>
      <c r="C81" s="128">
        <v>-38</v>
      </c>
      <c r="D81" s="129"/>
      <c r="E81" s="130">
        <f>3.05+158.54</f>
        <v>161.59</v>
      </c>
      <c r="F81" s="113">
        <f t="shared" si="18"/>
        <v>0.21520942931344475</v>
      </c>
      <c r="G81" s="131"/>
    </row>
    <row r="82" spans="2:18" x14ac:dyDescent="0.2">
      <c r="B82" s="132"/>
      <c r="C82" s="133" t="s">
        <v>55</v>
      </c>
      <c r="D82" s="134"/>
      <c r="E82" s="135">
        <f>SUM(E70:E81)</f>
        <v>750.85</v>
      </c>
      <c r="F82" s="151">
        <f t="shared" si="18"/>
        <v>1</v>
      </c>
      <c r="G82" s="135"/>
    </row>
    <row r="83" spans="2:18" x14ac:dyDescent="0.2">
      <c r="C83" s="137"/>
      <c r="D83" s="138"/>
      <c r="E83" s="139"/>
      <c r="F83" s="152"/>
      <c r="G83" s="139"/>
    </row>
    <row r="84" spans="2:18" ht="12" thickBot="1" x14ac:dyDescent="0.25">
      <c r="B84" s="106" t="s">
        <v>23</v>
      </c>
      <c r="C84" s="177" t="s">
        <v>24</v>
      </c>
      <c r="D84" s="178"/>
      <c r="E84" s="107" t="s">
        <v>25</v>
      </c>
      <c r="F84" s="108" t="s">
        <v>26</v>
      </c>
      <c r="G84" s="107" t="s">
        <v>27</v>
      </c>
    </row>
    <row r="85" spans="2:18" ht="23.25" thickTop="1" x14ac:dyDescent="0.2">
      <c r="B85" s="109" t="str">
        <f>F10&amp;" "&amp;"("&amp;F11&amp;")"</f>
        <v>SC-013 feed to deck4 (DI-049)</v>
      </c>
      <c r="C85" s="110" t="s">
        <v>43</v>
      </c>
      <c r="D85" s="111">
        <v>1180</v>
      </c>
      <c r="E85" s="112">
        <f>39.89+34.54</f>
        <v>74.430000000000007</v>
      </c>
      <c r="F85" s="113">
        <f t="shared" ref="F85:F96" si="26">E85/$E$97</f>
        <v>4.8647694741107736E-2</v>
      </c>
      <c r="G85" s="114">
        <f>SUM(E86:E$96)/$E$97</f>
        <v>0.95135230525889236</v>
      </c>
    </row>
    <row r="86" spans="2:18" x14ac:dyDescent="0.2">
      <c r="B86" s="115" t="s">
        <v>44</v>
      </c>
      <c r="C86" s="111" t="s">
        <v>45</v>
      </c>
      <c r="D86" s="111">
        <v>600</v>
      </c>
      <c r="E86" s="112">
        <f>93.36+80.62</f>
        <v>173.98000000000002</v>
      </c>
      <c r="F86" s="113">
        <f t="shared" si="26"/>
        <v>0.11371390475692496</v>
      </c>
      <c r="G86" s="114">
        <f>SUM(E87:E$96)/$E$97</f>
        <v>0.83763840050196758</v>
      </c>
    </row>
    <row r="87" spans="2:18" x14ac:dyDescent="0.2">
      <c r="B87" s="117">
        <f>FORECAST(0.8,D86:D87,G86:G87)</f>
        <v>530.61927710843338</v>
      </c>
      <c r="C87" s="111" t="s">
        <v>46</v>
      </c>
      <c r="D87" s="111">
        <v>425</v>
      </c>
      <c r="E87" s="112">
        <f>81.31+63.94</f>
        <v>145.25</v>
      </c>
      <c r="F87" s="113">
        <f t="shared" si="26"/>
        <v>9.4935881514791057E-2</v>
      </c>
      <c r="G87" s="114">
        <f>SUM(E88:E$96)/$E$97</f>
        <v>0.74270251898717654</v>
      </c>
    </row>
    <row r="88" spans="2:18" x14ac:dyDescent="0.2">
      <c r="B88" s="118"/>
      <c r="C88" s="111" t="s">
        <v>47</v>
      </c>
      <c r="D88" s="111">
        <v>300</v>
      </c>
      <c r="E88" s="112">
        <f>113.88+85.06</f>
        <v>198.94</v>
      </c>
      <c r="F88" s="113">
        <f t="shared" si="26"/>
        <v>0.13002784350122226</v>
      </c>
      <c r="G88" s="114">
        <f>SUM(E89:E$96)/$E$97</f>
        <v>0.61267467548595422</v>
      </c>
      <c r="H88" s="116"/>
      <c r="J88" s="143">
        <f t="shared" ref="J88:J95" si="27">J73</f>
        <v>0.38593611196251287</v>
      </c>
      <c r="K88" s="143">
        <f>1-J88</f>
        <v>0.61406388803748713</v>
      </c>
      <c r="L88" s="143">
        <f>SUM($F$85:F88)</f>
        <v>0.387325324514046</v>
      </c>
      <c r="M88" s="143">
        <v>1</v>
      </c>
      <c r="N88" s="144">
        <f>+(L88-J88)/(L88+M88-1)</f>
        <v>3.5866814370480106E-3</v>
      </c>
      <c r="O88" s="145">
        <f>1-N88</f>
        <v>0.99641331856295201</v>
      </c>
      <c r="P88" s="144">
        <f>+N88*M88/K88</f>
        <v>5.8408929541693749E-3</v>
      </c>
      <c r="Q88" s="144">
        <f>+O88*L88/J88</f>
        <v>1</v>
      </c>
      <c r="R88" s="146">
        <f>+N88*M88+O88*L88</f>
        <v>0.38952279339956086</v>
      </c>
    </row>
    <row r="89" spans="2:18" x14ac:dyDescent="0.2">
      <c r="B89" s="118"/>
      <c r="C89" s="119" t="s">
        <v>48</v>
      </c>
      <c r="D89" s="120">
        <v>212</v>
      </c>
      <c r="E89" s="121">
        <f>109.98+83.25</f>
        <v>193.23000000000002</v>
      </c>
      <c r="F89" s="122">
        <f t="shared" si="26"/>
        <v>0.12629576857213823</v>
      </c>
      <c r="G89" s="123">
        <f>SUM(E90:E$96)/$E$97</f>
        <v>0.48637890691381591</v>
      </c>
      <c r="H89" s="124">
        <f>SUM(F90:F96)*100</f>
        <v>48.637890691381592</v>
      </c>
      <c r="I89" s="116">
        <f>($I$207-H89)/($I$207*(100-H89))*10000</f>
        <v>-0.6290802984256324</v>
      </c>
      <c r="J89" s="143">
        <f t="shared" si="27"/>
        <v>0.5151875652621134</v>
      </c>
      <c r="K89" s="143">
        <f t="shared" ref="K89:K95" si="28">1-J89</f>
        <v>0.4848124347378866</v>
      </c>
      <c r="L89" s="143">
        <f>SUM($F$85:F89)</f>
        <v>0.5136210930861842</v>
      </c>
      <c r="M89" s="143">
        <v>1</v>
      </c>
      <c r="N89" s="144">
        <f t="shared" ref="N89:N95" si="29">+(L89-J89)/(L89+M89-1)</f>
        <v>-3.0498595112532722E-3</v>
      </c>
      <c r="O89" s="145">
        <f t="shared" ref="O89:O95" si="30">1-N89</f>
        <v>1.0030498595112534</v>
      </c>
      <c r="P89" s="144">
        <f t="shared" ref="P89:P95" si="31">+N89*M89/K89</f>
        <v>-6.2908029842555007E-3</v>
      </c>
      <c r="Q89" s="144">
        <f t="shared" ref="Q89:Q95" si="32">+O89*L89/J89</f>
        <v>1</v>
      </c>
      <c r="R89" s="146">
        <f t="shared" ref="R89:R95" si="33">+N89*M89+O89*L89</f>
        <v>0.51213770575086015</v>
      </c>
    </row>
    <row r="90" spans="2:18" x14ac:dyDescent="0.2">
      <c r="B90" s="118"/>
      <c r="C90" s="119" t="s">
        <v>49</v>
      </c>
      <c r="D90" s="125">
        <v>180</v>
      </c>
      <c r="E90" s="126">
        <f>34.33+26.08</f>
        <v>60.41</v>
      </c>
      <c r="F90" s="113">
        <f t="shared" si="26"/>
        <v>3.948417626374201E-2</v>
      </c>
      <c r="G90" s="114">
        <f>SUM(E91:E$96)/$E$97</f>
        <v>0.4468947306500739</v>
      </c>
      <c r="J90" s="143">
        <f t="shared" si="27"/>
        <v>0.55620204371068038</v>
      </c>
      <c r="K90" s="143">
        <f t="shared" si="28"/>
        <v>0.44379795628931962</v>
      </c>
      <c r="L90" s="143">
        <f>SUM($F$85:F90)</f>
        <v>0.55310526934992621</v>
      </c>
      <c r="M90" s="143">
        <v>1</v>
      </c>
      <c r="N90" s="144">
        <f t="shared" si="29"/>
        <v>-5.5988878290634666E-3</v>
      </c>
      <c r="O90" s="145">
        <f t="shared" si="30"/>
        <v>1.0055988878290634</v>
      </c>
      <c r="P90" s="144">
        <f t="shared" si="31"/>
        <v>-1.2615848607949547E-2</v>
      </c>
      <c r="Q90" s="144">
        <f t="shared" si="32"/>
        <v>1</v>
      </c>
      <c r="R90" s="146">
        <f t="shared" si="33"/>
        <v>0.5506031558816169</v>
      </c>
    </row>
    <row r="91" spans="2:18" x14ac:dyDescent="0.2">
      <c r="B91" s="118"/>
      <c r="C91" s="119" t="s">
        <v>50</v>
      </c>
      <c r="D91" s="125">
        <v>150</v>
      </c>
      <c r="E91" s="126">
        <f>49.65+34.63</f>
        <v>84.28</v>
      </c>
      <c r="F91" s="113">
        <f t="shared" si="26"/>
        <v>5.5085687394606474E-2</v>
      </c>
      <c r="G91" s="114">
        <f>SUM(E92:E$96)/$E$97</f>
        <v>0.39180904325546745</v>
      </c>
      <c r="J91" s="143">
        <f t="shared" si="27"/>
        <v>0.6094091733205883</v>
      </c>
      <c r="K91" s="143">
        <f t="shared" si="28"/>
        <v>0.3905908266794117</v>
      </c>
      <c r="L91" s="143">
        <f>SUM($F$85:F91)</f>
        <v>0.60819095674453272</v>
      </c>
      <c r="M91" s="143">
        <v>1</v>
      </c>
      <c r="N91" s="144">
        <f t="shared" si="29"/>
        <v>-2.0030165896848273E-3</v>
      </c>
      <c r="O91" s="145">
        <f t="shared" si="30"/>
        <v>1.0020030165896849</v>
      </c>
      <c r="P91" s="144">
        <f t="shared" si="31"/>
        <v>-5.1281711009789257E-3</v>
      </c>
      <c r="Q91" s="144">
        <f t="shared" si="32"/>
        <v>1.0000000000000002</v>
      </c>
      <c r="R91" s="146">
        <f t="shared" si="33"/>
        <v>0.60740615673090359</v>
      </c>
    </row>
    <row r="92" spans="2:18" x14ac:dyDescent="0.2">
      <c r="B92" s="118"/>
      <c r="C92" s="119" t="s">
        <v>51</v>
      </c>
      <c r="D92" s="125">
        <v>106</v>
      </c>
      <c r="E92" s="126">
        <v>135.56</v>
      </c>
      <c r="F92" s="113">
        <f t="shared" si="26"/>
        <v>8.860246539170448E-2</v>
      </c>
      <c r="G92" s="114">
        <f>SUM(E93:E$96)/$E$97</f>
        <v>0.30320657786376293</v>
      </c>
      <c r="J92" s="143">
        <f t="shared" si="27"/>
        <v>0.70222293797696544</v>
      </c>
      <c r="K92" s="143">
        <f t="shared" si="28"/>
        <v>0.29777706202303456</v>
      </c>
      <c r="L92" s="143">
        <f>SUM($F$85:F92)</f>
        <v>0.69679342213623718</v>
      </c>
      <c r="M92" s="143">
        <v>1</v>
      </c>
      <c r="N92" s="144">
        <f t="shared" si="29"/>
        <v>-7.7921456607359897E-3</v>
      </c>
      <c r="O92" s="145">
        <f t="shared" si="30"/>
        <v>1.0077921456607359</v>
      </c>
      <c r="P92" s="144">
        <f t="shared" si="31"/>
        <v>-2.6167716236428003E-2</v>
      </c>
      <c r="Q92" s="144">
        <f t="shared" si="32"/>
        <v>1</v>
      </c>
      <c r="R92" s="146">
        <f t="shared" si="33"/>
        <v>0.69443079231622951</v>
      </c>
    </row>
    <row r="93" spans="2:18" x14ac:dyDescent="0.2">
      <c r="B93" s="118"/>
      <c r="C93" s="119" t="s">
        <v>52</v>
      </c>
      <c r="D93" s="125">
        <v>75</v>
      </c>
      <c r="E93" s="126">
        <v>92.46</v>
      </c>
      <c r="F93" s="113">
        <f t="shared" si="26"/>
        <v>6.0432162511928261E-2</v>
      </c>
      <c r="G93" s="114">
        <f>SUM(E94:E$96)/$E$97</f>
        <v>0.24277441535183469</v>
      </c>
      <c r="J93" s="143">
        <f t="shared" si="27"/>
        <v>0.76456806221524942</v>
      </c>
      <c r="K93" s="143">
        <f t="shared" si="28"/>
        <v>0.23543193778475058</v>
      </c>
      <c r="L93" s="143">
        <f>SUM($F$85:F93)</f>
        <v>0.75722558464816547</v>
      </c>
      <c r="M93" s="143">
        <v>1</v>
      </c>
      <c r="N93" s="144">
        <f t="shared" si="29"/>
        <v>-9.6965524091417628E-3</v>
      </c>
      <c r="O93" s="145">
        <f t="shared" si="30"/>
        <v>1.0096965524091417</v>
      </c>
      <c r="P93" s="144">
        <f t="shared" si="31"/>
        <v>-4.1186223502127708E-2</v>
      </c>
      <c r="Q93" s="144">
        <f t="shared" si="32"/>
        <v>0.99999999999999989</v>
      </c>
      <c r="R93" s="146">
        <f t="shared" si="33"/>
        <v>0.75487150980610751</v>
      </c>
    </row>
    <row r="94" spans="2:18" x14ac:dyDescent="0.2">
      <c r="B94" s="118"/>
      <c r="C94" s="119" t="s">
        <v>53</v>
      </c>
      <c r="D94" s="125">
        <v>53</v>
      </c>
      <c r="E94" s="150">
        <v>78.099999999999994</v>
      </c>
      <c r="F94" s="113">
        <f t="shared" si="26"/>
        <v>5.1046418907436698E-2</v>
      </c>
      <c r="G94" s="114">
        <f>SUM(E95:E$96)/$E$97</f>
        <v>0.191727996444398</v>
      </c>
      <c r="J94" s="143">
        <f t="shared" si="27"/>
        <v>0.8132711319372653</v>
      </c>
      <c r="K94" s="143">
        <f t="shared" si="28"/>
        <v>0.1867288680627347</v>
      </c>
      <c r="L94" s="143">
        <f>SUM($F$85:F94)</f>
        <v>0.80827200355560214</v>
      </c>
      <c r="M94" s="143">
        <v>1</v>
      </c>
      <c r="N94" s="144">
        <f t="shared" si="29"/>
        <v>-6.184957984034972E-3</v>
      </c>
      <c r="O94" s="145">
        <f t="shared" si="30"/>
        <v>1.006184957984035</v>
      </c>
      <c r="P94" s="144">
        <f t="shared" si="31"/>
        <v>-3.3122666292589698E-2</v>
      </c>
      <c r="Q94" s="144">
        <f t="shared" si="32"/>
        <v>1</v>
      </c>
      <c r="R94" s="146">
        <f t="shared" si="33"/>
        <v>0.80708617395323035</v>
      </c>
    </row>
    <row r="95" spans="2:18" x14ac:dyDescent="0.2">
      <c r="B95" s="118"/>
      <c r="C95" s="119" t="s">
        <v>54</v>
      </c>
      <c r="D95" s="125">
        <v>38</v>
      </c>
      <c r="E95" s="126">
        <v>42.09</v>
      </c>
      <c r="F95" s="113">
        <f t="shared" si="26"/>
        <v>2.7510163531549437E-2</v>
      </c>
      <c r="G95" s="114">
        <f>SUM(E96:E$96)/$E$97</f>
        <v>0.16421783291284855</v>
      </c>
      <c r="J95" s="143">
        <f t="shared" si="27"/>
        <v>0.83470567760905601</v>
      </c>
      <c r="K95" s="143">
        <f t="shared" si="28"/>
        <v>0.16529432239094399</v>
      </c>
      <c r="L95" s="143">
        <f>SUM($F$85:F95)</f>
        <v>0.83578216708715158</v>
      </c>
      <c r="M95" s="143">
        <v>1</v>
      </c>
      <c r="N95" s="144">
        <f t="shared" si="29"/>
        <v>1.2880024490679583E-3</v>
      </c>
      <c r="O95" s="145">
        <f t="shared" si="30"/>
        <v>0.9987119975509321</v>
      </c>
      <c r="P95" s="144">
        <f t="shared" si="31"/>
        <v>7.7921759830422597E-3</v>
      </c>
      <c r="Q95" s="144">
        <f t="shared" si="32"/>
        <v>1</v>
      </c>
      <c r="R95" s="146">
        <f t="shared" si="33"/>
        <v>0.83599368005812391</v>
      </c>
    </row>
    <row r="96" spans="2:18" x14ac:dyDescent="0.2">
      <c r="B96" s="127"/>
      <c r="C96" s="128">
        <v>-38</v>
      </c>
      <c r="D96" s="129"/>
      <c r="E96" s="130">
        <f>236.02+15.23</f>
        <v>251.25</v>
      </c>
      <c r="F96" s="113">
        <f t="shared" si="26"/>
        <v>0.16421783291284855</v>
      </c>
      <c r="G96" s="131"/>
    </row>
    <row r="97" spans="2:18" x14ac:dyDescent="0.2">
      <c r="B97" s="132"/>
      <c r="C97" s="133" t="s">
        <v>55</v>
      </c>
      <c r="D97" s="134"/>
      <c r="E97" s="135">
        <f>SUM(E85:E96)</f>
        <v>1529.9799999999998</v>
      </c>
      <c r="F97" s="136">
        <f>E97/$E$97</f>
        <v>1</v>
      </c>
      <c r="G97" s="135"/>
    </row>
    <row r="98" spans="2:18" x14ac:dyDescent="0.2">
      <c r="C98" s="137"/>
      <c r="D98" s="138"/>
      <c r="E98" s="139"/>
      <c r="F98" s="140"/>
      <c r="G98" s="139"/>
    </row>
    <row r="99" spans="2:18" ht="12" thickBot="1" x14ac:dyDescent="0.25">
      <c r="B99" s="106" t="s">
        <v>23</v>
      </c>
      <c r="C99" s="177" t="s">
        <v>24</v>
      </c>
      <c r="D99" s="178"/>
      <c r="E99" s="107" t="s">
        <v>25</v>
      </c>
      <c r="F99" s="108" t="s">
        <v>26</v>
      </c>
      <c r="G99" s="107" t="s">
        <v>27</v>
      </c>
    </row>
    <row r="100" spans="2:18" ht="23.25" thickTop="1" x14ac:dyDescent="0.2">
      <c r="B100" s="109" t="str">
        <f>G10&amp;" "&amp;"("&amp;G11&amp;")"</f>
        <v>SC-013 feed to deck5 (DI-049)</v>
      </c>
      <c r="C100" s="110" t="s">
        <v>43</v>
      </c>
      <c r="D100" s="111">
        <v>1180</v>
      </c>
      <c r="E100" s="112">
        <v>32.53</v>
      </c>
      <c r="F100" s="113">
        <f t="shared" ref="F100:F112" si="34">E100/$E$112</f>
        <v>4.2084427597448806E-2</v>
      </c>
      <c r="G100" s="114">
        <f>SUM(E101:E$111)/$E$112</f>
        <v>0.95791557240255121</v>
      </c>
    </row>
    <row r="101" spans="2:18" x14ac:dyDescent="0.2">
      <c r="B101" s="115" t="s">
        <v>44</v>
      </c>
      <c r="C101" s="111" t="s">
        <v>45</v>
      </c>
      <c r="D101" s="111">
        <v>600</v>
      </c>
      <c r="E101" s="112">
        <v>76.569999999999993</v>
      </c>
      <c r="F101" s="113">
        <f t="shared" si="34"/>
        <v>9.9059471907059785E-2</v>
      </c>
      <c r="G101" s="114">
        <f>SUM(E102:E$111)/$E$112</f>
        <v>0.85885610049549133</v>
      </c>
    </row>
    <row r="102" spans="2:18" x14ac:dyDescent="0.2">
      <c r="B102" s="117">
        <f>FORECAST(0.8,D101:D102,G101:G102)</f>
        <v>492.17971289274101</v>
      </c>
      <c r="C102" s="111" t="s">
        <v>46</v>
      </c>
      <c r="D102" s="111">
        <v>425</v>
      </c>
      <c r="E102" s="112">
        <v>73.84</v>
      </c>
      <c r="F102" s="113">
        <f t="shared" si="34"/>
        <v>9.5527640141273282E-2</v>
      </c>
      <c r="G102" s="114">
        <f>SUM(E103:E$111)/$E$112</f>
        <v>0.7633284603542182</v>
      </c>
    </row>
    <row r="103" spans="2:18" x14ac:dyDescent="0.2">
      <c r="B103" s="118"/>
      <c r="C103" s="111" t="s">
        <v>47</v>
      </c>
      <c r="D103" s="111">
        <v>300</v>
      </c>
      <c r="E103" s="112">
        <v>102.19</v>
      </c>
      <c r="F103" s="113">
        <f t="shared" si="34"/>
        <v>0.1322043546321332</v>
      </c>
      <c r="G103" s="114">
        <f>SUM(E104:E$111)/$E$112</f>
        <v>0.6311241057220851</v>
      </c>
      <c r="H103" s="116"/>
      <c r="J103" s="143">
        <f t="shared" ref="J103:J110" si="35">J88</f>
        <v>0.38593611196251287</v>
      </c>
      <c r="K103" s="143">
        <f>1-J103</f>
        <v>0.61406388803748713</v>
      </c>
      <c r="L103" s="143">
        <f>SUM($F$101:F103)</f>
        <v>0.32679146668046627</v>
      </c>
      <c r="M103" s="143">
        <v>1</v>
      </c>
      <c r="N103" s="144">
        <f>+(L103-J103)/(L103+M103-1)</f>
        <v>-0.18098589257190639</v>
      </c>
      <c r="O103" s="145">
        <f>1-N103</f>
        <v>1.1809858925719063</v>
      </c>
      <c r="P103" s="144">
        <f>+N103*M103/K103</f>
        <v>-0.2947346295681495</v>
      </c>
      <c r="Q103" s="144">
        <f>+O103*L103/J103</f>
        <v>1</v>
      </c>
      <c r="R103" s="146">
        <f>+N103*M103+O103*L103</f>
        <v>0.20495021939060648</v>
      </c>
    </row>
    <row r="104" spans="2:18" x14ac:dyDescent="0.2">
      <c r="B104" s="118"/>
      <c r="C104" s="119" t="s">
        <v>48</v>
      </c>
      <c r="D104" s="120">
        <v>212</v>
      </c>
      <c r="E104" s="121">
        <v>95.9</v>
      </c>
      <c r="F104" s="122">
        <f t="shared" si="34"/>
        <v>0.12406691074685954</v>
      </c>
      <c r="G104" s="123">
        <f>SUM(E105:E$111)/$E$112</f>
        <v>0.5070571949752255</v>
      </c>
      <c r="H104" s="124">
        <f>SUM(F105:F111)*100</f>
        <v>50.705719497522551</v>
      </c>
      <c r="I104" s="116">
        <f>($I$207-H104)/($I$207*(100-H104))*10000</f>
        <v>-9.3080229782794035</v>
      </c>
      <c r="J104" s="143">
        <f t="shared" si="35"/>
        <v>0.5151875652621134</v>
      </c>
      <c r="K104" s="143">
        <f t="shared" ref="K104:K110" si="36">1-J104</f>
        <v>0.4848124347378866</v>
      </c>
      <c r="L104" s="143">
        <f>SUM($F$101:F104)</f>
        <v>0.45085837742732582</v>
      </c>
      <c r="M104" s="143">
        <v>1</v>
      </c>
      <c r="N104" s="144">
        <f t="shared" ref="N104:N110" si="37">+(L104-J104)/(L104+M104-1)</f>
        <v>-0.14268158485123603</v>
      </c>
      <c r="O104" s="145">
        <f t="shared" ref="O104:O110" si="38">1-N104</f>
        <v>1.1426815848512359</v>
      </c>
      <c r="P104" s="144">
        <f t="shared" ref="P104:P110" si="39">+N104*M104/K104</f>
        <v>-0.29430265114461573</v>
      </c>
      <c r="Q104" s="144">
        <f t="shared" ref="Q104:Q110" si="40">+O104*L104/J104</f>
        <v>1</v>
      </c>
      <c r="R104" s="146">
        <f t="shared" ref="R104:R110" si="41">+N104*M104+O104*L104</f>
        <v>0.37250598041087735</v>
      </c>
    </row>
    <row r="105" spans="2:18" x14ac:dyDescent="0.2">
      <c r="B105" s="118"/>
      <c r="C105" s="119" t="s">
        <v>49</v>
      </c>
      <c r="D105" s="125">
        <v>180</v>
      </c>
      <c r="E105" s="126">
        <v>39.97</v>
      </c>
      <c r="F105" s="113">
        <f t="shared" si="34"/>
        <v>5.1709639442669188E-2</v>
      </c>
      <c r="G105" s="114">
        <f>SUM(E106:E$111)/$E$112</f>
        <v>0.45534755553255635</v>
      </c>
      <c r="J105" s="143">
        <f t="shared" si="35"/>
        <v>0.55620204371068038</v>
      </c>
      <c r="K105" s="143">
        <f t="shared" si="36"/>
        <v>0.44379795628931962</v>
      </c>
      <c r="L105" s="143">
        <f>SUM($F$101:F105)</f>
        <v>0.50256801686999497</v>
      </c>
      <c r="M105" s="143">
        <v>1</v>
      </c>
      <c r="N105" s="144">
        <f t="shared" si="37"/>
        <v>-0.10671993648684483</v>
      </c>
      <c r="O105" s="145">
        <f t="shared" si="38"/>
        <v>1.1067199364868447</v>
      </c>
      <c r="P105" s="144">
        <f t="shared" si="39"/>
        <v>-0.24046964384232594</v>
      </c>
      <c r="Q105" s="144">
        <f t="shared" si="40"/>
        <v>1</v>
      </c>
      <c r="R105" s="146">
        <f t="shared" si="41"/>
        <v>0.44948210722383553</v>
      </c>
    </row>
    <row r="106" spans="2:18" x14ac:dyDescent="0.2">
      <c r="B106" s="118"/>
      <c r="C106" s="119" t="s">
        <v>50</v>
      </c>
      <c r="D106" s="125">
        <v>150</v>
      </c>
      <c r="E106" s="126">
        <v>39</v>
      </c>
      <c r="F106" s="113">
        <f t="shared" si="34"/>
        <v>5.0454739511235885E-2</v>
      </c>
      <c r="G106" s="114">
        <f>SUM(E107:E$111)/$E$112</f>
        <v>0.40489281602132043</v>
      </c>
      <c r="J106" s="143">
        <f t="shared" si="35"/>
        <v>0.6094091733205883</v>
      </c>
      <c r="K106" s="143">
        <f t="shared" si="36"/>
        <v>0.3905908266794117</v>
      </c>
      <c r="L106" s="143">
        <f>SUM($F$101:F106)</f>
        <v>0.55302275638123088</v>
      </c>
      <c r="M106" s="143">
        <v>1</v>
      </c>
      <c r="N106" s="144">
        <f t="shared" si="37"/>
        <v>-0.10196039184414135</v>
      </c>
      <c r="O106" s="145">
        <f t="shared" si="38"/>
        <v>1.1019603918441414</v>
      </c>
      <c r="P106" s="144">
        <f t="shared" si="39"/>
        <v>-0.26104143999221002</v>
      </c>
      <c r="Q106" s="144">
        <f t="shared" si="40"/>
        <v>1</v>
      </c>
      <c r="R106" s="146">
        <f t="shared" si="41"/>
        <v>0.50744878147644701</v>
      </c>
    </row>
    <row r="107" spans="2:18" x14ac:dyDescent="0.2">
      <c r="B107" s="118"/>
      <c r="C107" s="119" t="s">
        <v>51</v>
      </c>
      <c r="D107" s="125">
        <v>106</v>
      </c>
      <c r="E107" s="126">
        <v>71.66</v>
      </c>
      <c r="F107" s="113">
        <f t="shared" si="34"/>
        <v>9.2707349573722148E-2</v>
      </c>
      <c r="G107" s="114">
        <f>SUM(E108:E$111)/$E$112</f>
        <v>0.31218546644759826</v>
      </c>
      <c r="J107" s="143">
        <f t="shared" si="35"/>
        <v>0.70222293797696544</v>
      </c>
      <c r="K107" s="143">
        <f t="shared" si="36"/>
        <v>0.29777706202303456</v>
      </c>
      <c r="L107" s="143">
        <f>SUM($F$101:F107)</f>
        <v>0.64573010595495306</v>
      </c>
      <c r="M107" s="143">
        <v>1</v>
      </c>
      <c r="N107" s="144">
        <f t="shared" si="37"/>
        <v>-8.7486755691012164E-2</v>
      </c>
      <c r="O107" s="145">
        <f t="shared" si="38"/>
        <v>1.0874867556910122</v>
      </c>
      <c r="P107" s="144">
        <f t="shared" si="39"/>
        <v>-0.29379951261741116</v>
      </c>
      <c r="Q107" s="144">
        <f t="shared" si="40"/>
        <v>1</v>
      </c>
      <c r="R107" s="146">
        <f t="shared" si="41"/>
        <v>0.61473618228595328</v>
      </c>
    </row>
    <row r="108" spans="2:18" x14ac:dyDescent="0.2">
      <c r="B108" s="118"/>
      <c r="C108" s="119" t="s">
        <v>52</v>
      </c>
      <c r="D108" s="125">
        <v>75</v>
      </c>
      <c r="E108" s="126">
        <v>48.4</v>
      </c>
      <c r="F108" s="113">
        <f t="shared" si="34"/>
        <v>6.261562544471326E-2</v>
      </c>
      <c r="G108" s="114">
        <f>SUM(E109:E$111)/$E$112</f>
        <v>0.24956984100288504</v>
      </c>
      <c r="J108" s="143">
        <f t="shared" si="35"/>
        <v>0.76456806221524942</v>
      </c>
      <c r="K108" s="143">
        <f t="shared" si="36"/>
        <v>0.23543193778475058</v>
      </c>
      <c r="L108" s="143">
        <f>SUM($F$101:F108)</f>
        <v>0.70834573139966628</v>
      </c>
      <c r="M108" s="143">
        <v>1</v>
      </c>
      <c r="N108" s="144">
        <f t="shared" si="37"/>
        <v>-7.9371313079687519E-2</v>
      </c>
      <c r="O108" s="145">
        <f t="shared" si="38"/>
        <v>1.0793713130796876</v>
      </c>
      <c r="P108" s="144">
        <f t="shared" si="39"/>
        <v>-0.33713061119283949</v>
      </c>
      <c r="Q108" s="144">
        <f t="shared" si="40"/>
        <v>1.0000000000000002</v>
      </c>
      <c r="R108" s="146">
        <f t="shared" si="41"/>
        <v>0.68519674913556206</v>
      </c>
    </row>
    <row r="109" spans="2:18" x14ac:dyDescent="0.2">
      <c r="B109" s="118"/>
      <c r="C109" s="119" t="s">
        <v>53</v>
      </c>
      <c r="D109" s="125">
        <v>53</v>
      </c>
      <c r="E109" s="126">
        <v>47.01</v>
      </c>
      <c r="F109" s="113">
        <f t="shared" si="34"/>
        <v>6.0817366780082024E-2</v>
      </c>
      <c r="G109" s="114">
        <f>SUM(E110:E$111)/$E$112</f>
        <v>0.18875247422280297</v>
      </c>
      <c r="J109" s="143">
        <f t="shared" si="35"/>
        <v>0.8132711319372653</v>
      </c>
      <c r="K109" s="143">
        <f t="shared" si="36"/>
        <v>0.1867288680627347</v>
      </c>
      <c r="L109" s="143">
        <f>SUM($F$101:F109)</f>
        <v>0.76916309817974826</v>
      </c>
      <c r="M109" s="143">
        <v>1</v>
      </c>
      <c r="N109" s="144">
        <f t="shared" si="37"/>
        <v>-5.7345488703111569E-2</v>
      </c>
      <c r="O109" s="145">
        <f t="shared" si="38"/>
        <v>1.0573454887031115</v>
      </c>
      <c r="P109" s="144">
        <f t="shared" si="39"/>
        <v>-0.30710564091164194</v>
      </c>
      <c r="Q109" s="144">
        <f t="shared" si="40"/>
        <v>1</v>
      </c>
      <c r="R109" s="146">
        <f t="shared" si="41"/>
        <v>0.75592564323415368</v>
      </c>
    </row>
    <row r="110" spans="2:18" x14ac:dyDescent="0.2">
      <c r="B110" s="118"/>
      <c r="C110" s="119" t="s">
        <v>54</v>
      </c>
      <c r="D110" s="125">
        <v>38</v>
      </c>
      <c r="E110" s="126">
        <v>25.61</v>
      </c>
      <c r="F110" s="113">
        <f t="shared" si="34"/>
        <v>3.3131945612378234E-2</v>
      </c>
      <c r="G110" s="114">
        <f>SUM(E111:E$111)/$E$112</f>
        <v>0.15562052861042475</v>
      </c>
      <c r="J110" s="143">
        <f t="shared" si="35"/>
        <v>0.83470567760905601</v>
      </c>
      <c r="K110" s="143">
        <f t="shared" si="36"/>
        <v>0.16529432239094399</v>
      </c>
      <c r="L110" s="143">
        <f>SUM($F$101:F110)</f>
        <v>0.80229504379212646</v>
      </c>
      <c r="M110" s="143">
        <v>1</v>
      </c>
      <c r="N110" s="144">
        <f t="shared" si="37"/>
        <v>-4.0397400018498807E-2</v>
      </c>
      <c r="O110" s="145">
        <f t="shared" si="38"/>
        <v>1.0403974000184988</v>
      </c>
      <c r="P110" s="144">
        <f t="shared" si="39"/>
        <v>-0.24439677923693806</v>
      </c>
      <c r="Q110" s="144">
        <f t="shared" si="40"/>
        <v>1</v>
      </c>
      <c r="R110" s="146">
        <f t="shared" si="41"/>
        <v>0.79430827759055722</v>
      </c>
    </row>
    <row r="111" spans="2:18" x14ac:dyDescent="0.2">
      <c r="B111" s="127"/>
      <c r="C111" s="128">
        <v>-38</v>
      </c>
      <c r="D111" s="129"/>
      <c r="E111" s="130">
        <f>4.12+116.17</f>
        <v>120.29</v>
      </c>
      <c r="F111" s="113">
        <f t="shared" si="34"/>
        <v>0.15562052861042475</v>
      </c>
      <c r="G111" s="131"/>
    </row>
    <row r="112" spans="2:18" x14ac:dyDescent="0.2">
      <c r="B112" s="132"/>
      <c r="C112" s="133" t="s">
        <v>55</v>
      </c>
      <c r="D112" s="134"/>
      <c r="E112" s="135">
        <f>SUM(E100:E111)</f>
        <v>772.96999999999991</v>
      </c>
      <c r="F112" s="136">
        <f t="shared" si="34"/>
        <v>1</v>
      </c>
      <c r="G112" s="135"/>
    </row>
    <row r="113" spans="2:11" x14ac:dyDescent="0.2">
      <c r="C113" s="137"/>
      <c r="D113" s="138"/>
      <c r="E113" s="139"/>
      <c r="F113" s="140"/>
      <c r="G113" s="139"/>
    </row>
    <row r="114" spans="2:11" x14ac:dyDescent="0.2">
      <c r="B114" s="153" t="s">
        <v>23</v>
      </c>
      <c r="C114" s="179" t="s">
        <v>24</v>
      </c>
      <c r="D114" s="179"/>
      <c r="E114" s="154" t="s">
        <v>25</v>
      </c>
      <c r="F114" s="155" t="s">
        <v>26</v>
      </c>
      <c r="G114" s="154" t="s">
        <v>27</v>
      </c>
    </row>
    <row r="115" spans="2:11" x14ac:dyDescent="0.2">
      <c r="B115" s="156" t="str">
        <f>B17</f>
        <v>SC-13 Combined U/S</v>
      </c>
      <c r="C115" s="157" t="s">
        <v>43</v>
      </c>
      <c r="D115" s="158">
        <v>1180</v>
      </c>
      <c r="E115" s="159">
        <v>0</v>
      </c>
      <c r="F115" s="113">
        <f t="shared" ref="F115:F127" si="42">E115/$E$127</f>
        <v>0</v>
      </c>
      <c r="G115" s="160">
        <f>SUM(E116:E$126)/$E$127</f>
        <v>1</v>
      </c>
    </row>
    <row r="116" spans="2:11" x14ac:dyDescent="0.2">
      <c r="B116" s="156" t="s">
        <v>44</v>
      </c>
      <c r="C116" s="111" t="s">
        <v>45</v>
      </c>
      <c r="D116" s="111">
        <v>600</v>
      </c>
      <c r="E116" s="159">
        <v>0.5</v>
      </c>
      <c r="F116" s="113">
        <f t="shared" si="42"/>
        <v>4.3895073216982126E-4</v>
      </c>
      <c r="G116" s="114">
        <f>SUM(E117:E$126)/$E$127</f>
        <v>0.99956104926783018</v>
      </c>
    </row>
    <row r="117" spans="2:11" x14ac:dyDescent="0.2">
      <c r="B117" s="161">
        <f>FORECAST(0.8,D119:D120,G119:G120)</f>
        <v>193.73650507907945</v>
      </c>
      <c r="C117" s="111" t="s">
        <v>46</v>
      </c>
      <c r="D117" s="111">
        <v>425</v>
      </c>
      <c r="E117" s="112">
        <v>0.54</v>
      </c>
      <c r="F117" s="113">
        <f t="shared" si="42"/>
        <v>4.7406679074340704E-4</v>
      </c>
      <c r="G117" s="114">
        <f>SUM(E118:E$126)/$E$127</f>
        <v>0.99908698247708683</v>
      </c>
    </row>
    <row r="118" spans="2:11" x14ac:dyDescent="0.2">
      <c r="B118" s="118"/>
      <c r="C118" s="111" t="s">
        <v>47</v>
      </c>
      <c r="D118" s="111">
        <v>300</v>
      </c>
      <c r="E118" s="112">
        <v>19.7</v>
      </c>
      <c r="F118" s="113">
        <f t="shared" si="42"/>
        <v>1.7294658847490957E-2</v>
      </c>
      <c r="G118" s="114">
        <f>SUM(E119:E$126)/$E$127</f>
        <v>0.98179232362959579</v>
      </c>
    </row>
    <row r="119" spans="2:11" x14ac:dyDescent="0.2">
      <c r="B119" s="118"/>
      <c r="C119" s="119" t="s">
        <v>48</v>
      </c>
      <c r="D119" s="120">
        <v>212</v>
      </c>
      <c r="E119" s="120">
        <v>162.69</v>
      </c>
      <c r="F119" s="122">
        <f t="shared" si="42"/>
        <v>0.14282578923341646</v>
      </c>
      <c r="G119" s="123">
        <f>SUM(E120:E$126)/$E$127</f>
        <v>0.8389665343961793</v>
      </c>
      <c r="H119" s="124">
        <f>SUM(F120:F126)*100</f>
        <v>83.896653439617936</v>
      </c>
      <c r="I119" s="116">
        <f>($I$207-H119)/($I$207*(100-H119))*10000</f>
        <v>-453.63064299604736</v>
      </c>
    </row>
    <row r="120" spans="2:11" x14ac:dyDescent="0.2">
      <c r="B120" s="118"/>
      <c r="C120" s="119" t="s">
        <v>49</v>
      </c>
      <c r="D120" s="125">
        <v>180</v>
      </c>
      <c r="E120" s="112">
        <v>77.77</v>
      </c>
      <c r="F120" s="113">
        <f t="shared" si="42"/>
        <v>6.8274396881693997E-2</v>
      </c>
      <c r="G120" s="114">
        <f>SUM(E121:E$126)/$E$127</f>
        <v>0.77069213751448529</v>
      </c>
      <c r="K120" s="144"/>
    </row>
    <row r="121" spans="2:11" x14ac:dyDescent="0.2">
      <c r="B121" s="118"/>
      <c r="C121" s="119" t="s">
        <v>50</v>
      </c>
      <c r="D121" s="125">
        <v>150</v>
      </c>
      <c r="E121" s="126">
        <v>115.58</v>
      </c>
      <c r="F121" s="113">
        <f t="shared" si="42"/>
        <v>0.10146785124837589</v>
      </c>
      <c r="G121" s="114">
        <f>SUM(E122:E$126)/$E$127</f>
        <v>0.66922428626610952</v>
      </c>
    </row>
    <row r="122" spans="2:11" x14ac:dyDescent="0.2">
      <c r="B122" s="118"/>
      <c r="C122" s="119" t="s">
        <v>51</v>
      </c>
      <c r="D122" s="125">
        <v>106</v>
      </c>
      <c r="E122" s="126">
        <v>186.4</v>
      </c>
      <c r="F122" s="113">
        <f t="shared" si="42"/>
        <v>0.16364083295290938</v>
      </c>
      <c r="G122" s="114">
        <f>SUM(E123:E$126)/$E$127</f>
        <v>0.50558345331320009</v>
      </c>
    </row>
    <row r="123" spans="2:11" x14ac:dyDescent="0.2">
      <c r="B123" s="118"/>
      <c r="C123" s="119" t="s">
        <v>52</v>
      </c>
      <c r="D123" s="125">
        <v>75</v>
      </c>
      <c r="E123" s="126">
        <v>122.02</v>
      </c>
      <c r="F123" s="113">
        <f t="shared" si="42"/>
        <v>0.10712153667872318</v>
      </c>
      <c r="G123" s="114">
        <f>SUM(E124:E$126)/$E$127</f>
        <v>0.39846191663447694</v>
      </c>
    </row>
    <row r="124" spans="2:11" x14ac:dyDescent="0.2">
      <c r="B124" s="118"/>
      <c r="C124" s="119" t="s">
        <v>53</v>
      </c>
      <c r="D124" s="125">
        <v>53</v>
      </c>
      <c r="E124" s="126">
        <v>101.16</v>
      </c>
      <c r="F124" s="113">
        <f t="shared" si="42"/>
        <v>8.8808512132598244E-2</v>
      </c>
      <c r="G124" s="114">
        <f>SUM(E125:E$126)/$E$127</f>
        <v>0.30965340450187873</v>
      </c>
    </row>
    <row r="125" spans="2:11" x14ac:dyDescent="0.2">
      <c r="B125" s="118"/>
      <c r="C125" s="119" t="s">
        <v>54</v>
      </c>
      <c r="D125" s="125">
        <v>38</v>
      </c>
      <c r="E125" s="126">
        <v>51.36</v>
      </c>
      <c r="F125" s="113">
        <f t="shared" si="42"/>
        <v>4.5089019208484044E-2</v>
      </c>
      <c r="G125" s="114">
        <f>SUM(E126:E$126)/$E$127</f>
        <v>0.26456438529339465</v>
      </c>
    </row>
    <row r="126" spans="2:11" x14ac:dyDescent="0.2">
      <c r="B126" s="127"/>
      <c r="C126" s="128">
        <v>-38</v>
      </c>
      <c r="D126" s="129"/>
      <c r="E126" s="126">
        <f>21.02+280.34</f>
        <v>301.35999999999996</v>
      </c>
      <c r="F126" s="113">
        <f t="shared" si="42"/>
        <v>0.26456438529339465</v>
      </c>
      <c r="G126" s="131"/>
    </row>
    <row r="127" spans="2:11" x14ac:dyDescent="0.2">
      <c r="B127" s="132"/>
      <c r="C127" s="133" t="s">
        <v>55</v>
      </c>
      <c r="D127" s="134"/>
      <c r="E127" s="135">
        <f>SUM(E115:E126)</f>
        <v>1139.08</v>
      </c>
      <c r="F127" s="136">
        <f t="shared" si="42"/>
        <v>1</v>
      </c>
      <c r="G127" s="135"/>
    </row>
    <row r="128" spans="2:11" x14ac:dyDescent="0.2">
      <c r="C128" s="137"/>
      <c r="D128" s="138"/>
      <c r="E128" s="139"/>
      <c r="F128" s="140"/>
      <c r="G128" s="139"/>
    </row>
    <row r="129" spans="2:18" x14ac:dyDescent="0.2">
      <c r="B129" s="162" t="s">
        <v>23</v>
      </c>
      <c r="C129" s="177" t="s">
        <v>24</v>
      </c>
      <c r="D129" s="178"/>
      <c r="E129" s="107" t="s">
        <v>25</v>
      </c>
      <c r="F129" s="108" t="s">
        <v>26</v>
      </c>
      <c r="G129" s="107" t="s">
        <v>27</v>
      </c>
    </row>
    <row r="130" spans="2:18" x14ac:dyDescent="0.2">
      <c r="B130" s="163" t="str">
        <f>+C17</f>
        <v>SC-013 O/S from deck1</v>
      </c>
      <c r="C130" s="110" t="s">
        <v>43</v>
      </c>
      <c r="D130" s="111">
        <v>1180</v>
      </c>
      <c r="E130" s="112">
        <f>87.92+94.94</f>
        <v>182.86</v>
      </c>
      <c r="F130" s="113">
        <f t="shared" ref="F130:F142" si="43">E130/$E$142</f>
        <v>9.1695918162671752E-2</v>
      </c>
      <c r="G130" s="114">
        <f>SUM(E131:E$141)/$E$142</f>
        <v>0.90830408183732814</v>
      </c>
    </row>
    <row r="131" spans="2:18" x14ac:dyDescent="0.2">
      <c r="B131" s="163" t="s">
        <v>44</v>
      </c>
      <c r="C131" s="111" t="s">
        <v>45</v>
      </c>
      <c r="D131" s="111">
        <v>600</v>
      </c>
      <c r="E131" s="112">
        <f>229.06+233.42</f>
        <v>462.48</v>
      </c>
      <c r="F131" s="113">
        <f t="shared" si="43"/>
        <v>0.23191254638451511</v>
      </c>
      <c r="G131" s="114">
        <f>SUM(E132:E$141)/$E$142</f>
        <v>0.67639153545281305</v>
      </c>
    </row>
    <row r="132" spans="2:18" x14ac:dyDescent="0.2">
      <c r="B132" s="164">
        <f>FORECAST(0.8,D130:D131,G130:G131)</f>
        <v>909.13769244075456</v>
      </c>
      <c r="C132" s="111" t="s">
        <v>46</v>
      </c>
      <c r="D132" s="111">
        <v>425</v>
      </c>
      <c r="E132" s="112">
        <f>191.86+201.41</f>
        <v>393.27</v>
      </c>
      <c r="F132" s="113">
        <f t="shared" si="43"/>
        <v>0.19720690001002908</v>
      </c>
      <c r="G132" s="114">
        <f>SUM(E133:E$141)/$E$142</f>
        <v>0.47918463544278406</v>
      </c>
    </row>
    <row r="133" spans="2:18" x14ac:dyDescent="0.2">
      <c r="B133" s="165"/>
      <c r="C133" s="111" t="s">
        <v>47</v>
      </c>
      <c r="D133" s="111">
        <v>300</v>
      </c>
      <c r="E133" s="112">
        <f>220.52+237.5</f>
        <v>458.02</v>
      </c>
      <c r="F133" s="113">
        <f t="shared" si="43"/>
        <v>0.22967606057566942</v>
      </c>
      <c r="G133" s="114">
        <f>SUM(E134:E$141)/$E$142</f>
        <v>0.24950857486711464</v>
      </c>
      <c r="H133" s="116"/>
      <c r="J133" s="143">
        <f>SUM($F$115:F118)</f>
        <v>1.8207676370404186E-2</v>
      </c>
      <c r="K133" s="143">
        <f>1-J133</f>
        <v>0.98179232362959579</v>
      </c>
      <c r="L133" s="143">
        <f>SUM($F$130:F133)</f>
        <v>0.75049142513288536</v>
      </c>
      <c r="M133" s="143">
        <v>1</v>
      </c>
      <c r="N133" s="144">
        <f>+(L133-J133)/(L133+M133-1)</f>
        <v>0.97573899479640258</v>
      </c>
      <c r="O133" s="145">
        <f>1-N133</f>
        <v>2.4261005203597419E-2</v>
      </c>
      <c r="P133" s="144">
        <f>+N133*M133/K133</f>
        <v>0.99383441010129858</v>
      </c>
      <c r="Q133" s="144">
        <f>+O133*L133/J133</f>
        <v>0.99999999999999944</v>
      </c>
      <c r="R133" s="146">
        <f>+N133*M133+O133*L133</f>
        <v>0.99394667116680679</v>
      </c>
    </row>
    <row r="134" spans="2:18" x14ac:dyDescent="0.2">
      <c r="B134" s="118"/>
      <c r="C134" s="119" t="s">
        <v>48</v>
      </c>
      <c r="D134" s="120">
        <v>212</v>
      </c>
      <c r="E134" s="121">
        <f>111.61+116.67</f>
        <v>228.28</v>
      </c>
      <c r="F134" s="122">
        <f t="shared" si="43"/>
        <v>0.11447196870925684</v>
      </c>
      <c r="G134" s="123">
        <f>SUM(E135:E$141)/$E$142</f>
        <v>0.13503660615785779</v>
      </c>
      <c r="H134" s="124">
        <f>SUM(F135:F141)*100</f>
        <v>13.503660615785778</v>
      </c>
      <c r="I134" s="116">
        <f>($I$207-H134)/($I$207*(100-H134))*10000</f>
        <v>83.410037351914397</v>
      </c>
      <c r="J134" s="143">
        <f>SUM($F$115:F119)</f>
        <v>0.16103346560382065</v>
      </c>
      <c r="K134" s="143">
        <f t="shared" ref="K134:K140" si="44">1-J134</f>
        <v>0.83896653439617941</v>
      </c>
      <c r="L134" s="143">
        <f>SUM($F$130:F134)</f>
        <v>0.86496339384214216</v>
      </c>
      <c r="M134" s="143">
        <v>1</v>
      </c>
      <c r="N134" s="144">
        <f t="shared" ref="N134:N140" si="45">+(L134-J134)/(L134+M134-1)</f>
        <v>0.81382626507635814</v>
      </c>
      <c r="O134" s="145">
        <f t="shared" ref="O134:O140" si="46">1-N134</f>
        <v>0.18617373492364186</v>
      </c>
      <c r="P134" s="144">
        <f t="shared" ref="P134:P140" si="47">+N134*M134/K134</f>
        <v>0.97003424059349974</v>
      </c>
      <c r="Q134" s="144">
        <f t="shared" ref="Q134:Q140" si="48">+O134*L134/J134</f>
        <v>0.99999999999999978</v>
      </c>
      <c r="R134" s="146">
        <f t="shared" ref="R134:R140" si="49">+N134*M134+O134*L134</f>
        <v>0.97485973068017873</v>
      </c>
    </row>
    <row r="135" spans="2:18" x14ac:dyDescent="0.2">
      <c r="B135" s="118"/>
      <c r="C135" s="119" t="s">
        <v>49</v>
      </c>
      <c r="D135" s="125">
        <v>180</v>
      </c>
      <c r="E135" s="126">
        <f>20.12+18.15</f>
        <v>38.269999999999996</v>
      </c>
      <c r="F135" s="113">
        <f t="shared" si="43"/>
        <v>1.9190652893390833E-2</v>
      </c>
      <c r="G135" s="114">
        <f>SUM(E136:E$141)/$E$142</f>
        <v>0.11584595326446694</v>
      </c>
      <c r="J135" s="143">
        <f>SUM($F$115:F120)</f>
        <v>0.22930786248551466</v>
      </c>
      <c r="K135" s="143">
        <f t="shared" si="44"/>
        <v>0.77069213751448529</v>
      </c>
      <c r="L135" s="143">
        <f>SUM($F$130:F135)</f>
        <v>0.88415404673553299</v>
      </c>
      <c r="M135" s="143">
        <v>1</v>
      </c>
      <c r="N135" s="144">
        <f t="shared" si="45"/>
        <v>0.74064716060265368</v>
      </c>
      <c r="O135" s="145">
        <f t="shared" si="46"/>
        <v>0.25935283939734632</v>
      </c>
      <c r="P135" s="144">
        <f t="shared" si="47"/>
        <v>0.96101559176569784</v>
      </c>
      <c r="Q135" s="144">
        <f t="shared" si="48"/>
        <v>0.99999999999999944</v>
      </c>
      <c r="R135" s="146">
        <f t="shared" si="49"/>
        <v>0.96995502308816817</v>
      </c>
    </row>
    <row r="136" spans="2:18" x14ac:dyDescent="0.2">
      <c r="B136" s="118"/>
      <c r="C136" s="119" t="s">
        <v>50</v>
      </c>
      <c r="D136" s="125">
        <v>150</v>
      </c>
      <c r="E136" s="126">
        <f>14.46+20.01</f>
        <v>34.47</v>
      </c>
      <c r="F136" s="113">
        <f t="shared" si="43"/>
        <v>1.7285126867916958E-2</v>
      </c>
      <c r="G136" s="114">
        <f>SUM(E137:E$141)/$E$142</f>
        <v>9.8560826396550005E-2</v>
      </c>
      <c r="J136" s="143">
        <f>SUM($F$115:F121)</f>
        <v>0.33077571373389053</v>
      </c>
      <c r="K136" s="143">
        <f t="shared" si="44"/>
        <v>0.66922428626610952</v>
      </c>
      <c r="L136" s="143">
        <f>SUM($F$130:F136)</f>
        <v>0.90143917360344994</v>
      </c>
      <c r="M136" s="143">
        <v>1</v>
      </c>
      <c r="N136" s="144">
        <f t="shared" si="45"/>
        <v>0.63305819913324368</v>
      </c>
      <c r="O136" s="145">
        <f t="shared" si="46"/>
        <v>0.36694180086675632</v>
      </c>
      <c r="P136" s="144">
        <f t="shared" si="47"/>
        <v>0.94595819686303972</v>
      </c>
      <c r="Q136" s="144">
        <f t="shared" si="48"/>
        <v>1</v>
      </c>
      <c r="R136" s="146">
        <f t="shared" si="49"/>
        <v>0.96383391286713427</v>
      </c>
    </row>
    <row r="137" spans="2:18" x14ac:dyDescent="0.2">
      <c r="B137" s="118"/>
      <c r="C137" s="119" t="s">
        <v>51</v>
      </c>
      <c r="D137" s="125">
        <v>106</v>
      </c>
      <c r="E137" s="126">
        <v>40.85</v>
      </c>
      <c r="F137" s="113">
        <f t="shared" si="43"/>
        <v>2.048440477384415E-2</v>
      </c>
      <c r="G137" s="114">
        <f>SUM(E138:E$141)/$E$142</f>
        <v>7.8076421622705838E-2</v>
      </c>
      <c r="J137" s="143">
        <f>SUM($F$115:F122)</f>
        <v>0.49441654668679991</v>
      </c>
      <c r="K137" s="143">
        <f t="shared" si="44"/>
        <v>0.50558345331320009</v>
      </c>
      <c r="L137" s="143">
        <f>SUM($F$130:F137)</f>
        <v>0.92192357837729411</v>
      </c>
      <c r="M137" s="143">
        <v>1</v>
      </c>
      <c r="N137" s="144">
        <f t="shared" si="45"/>
        <v>0.46371200576403787</v>
      </c>
      <c r="O137" s="145">
        <f t="shared" si="46"/>
        <v>0.53628799423596218</v>
      </c>
      <c r="P137" s="144">
        <f t="shared" si="47"/>
        <v>0.91718192659437459</v>
      </c>
      <c r="Q137" s="144">
        <f t="shared" si="48"/>
        <v>1</v>
      </c>
      <c r="R137" s="146">
        <f t="shared" si="49"/>
        <v>0.95812855245083783</v>
      </c>
    </row>
    <row r="138" spans="2:18" x14ac:dyDescent="0.2">
      <c r="B138" s="118"/>
      <c r="C138" s="119" t="s">
        <v>52</v>
      </c>
      <c r="D138" s="125">
        <v>75</v>
      </c>
      <c r="E138" s="126">
        <v>22.47</v>
      </c>
      <c r="F138" s="113">
        <f t="shared" si="43"/>
        <v>1.1267676261157355E-2</v>
      </c>
      <c r="G138" s="114">
        <f>SUM(E139:E$141)/$E$142</f>
        <v>6.6808745361548502E-2</v>
      </c>
      <c r="J138" s="143">
        <f>SUM($F$115:F123)</f>
        <v>0.60153808336552306</v>
      </c>
      <c r="K138" s="143">
        <f t="shared" si="44"/>
        <v>0.39846191663447694</v>
      </c>
      <c r="L138" s="143">
        <f>SUM($F$130:F138)</f>
        <v>0.93319125463845143</v>
      </c>
      <c r="M138" s="143">
        <v>1</v>
      </c>
      <c r="N138" s="144">
        <f t="shared" si="45"/>
        <v>0.35539678455454615</v>
      </c>
      <c r="O138" s="145">
        <f t="shared" si="46"/>
        <v>0.64460321544545385</v>
      </c>
      <c r="P138" s="144">
        <f t="shared" si="47"/>
        <v>0.89192158577243419</v>
      </c>
      <c r="Q138" s="144">
        <f t="shared" si="48"/>
        <v>1</v>
      </c>
      <c r="R138" s="146">
        <f t="shared" si="49"/>
        <v>0.95693486792006921</v>
      </c>
    </row>
    <row r="139" spans="2:18" x14ac:dyDescent="0.2">
      <c r="B139" s="118"/>
      <c r="C139" s="119" t="s">
        <v>53</v>
      </c>
      <c r="D139" s="125">
        <v>53</v>
      </c>
      <c r="E139" s="126">
        <v>21.87</v>
      </c>
      <c r="F139" s="113">
        <f t="shared" si="43"/>
        <v>1.0966803730819376E-2</v>
      </c>
      <c r="G139" s="114">
        <f>SUM(E140:E$141)/$E$142</f>
        <v>5.5841941630729114E-2</v>
      </c>
      <c r="J139" s="143">
        <f>SUM($F$115:F124)</f>
        <v>0.69034659549812127</v>
      </c>
      <c r="K139" s="143">
        <f t="shared" si="44"/>
        <v>0.30965340450187873</v>
      </c>
      <c r="L139" s="143">
        <f>SUM($F$130:F139)</f>
        <v>0.9441580583692708</v>
      </c>
      <c r="M139" s="143">
        <v>1</v>
      </c>
      <c r="N139" s="144">
        <f t="shared" si="45"/>
        <v>0.26882306476261736</v>
      </c>
      <c r="O139" s="145">
        <f t="shared" si="46"/>
        <v>0.7311769352373827</v>
      </c>
      <c r="P139" s="144">
        <f t="shared" si="47"/>
        <v>0.86814180259072971</v>
      </c>
      <c r="Q139" s="144">
        <f t="shared" si="48"/>
        <v>1</v>
      </c>
      <c r="R139" s="146">
        <f t="shared" si="49"/>
        <v>0.95916966026073869</v>
      </c>
    </row>
    <row r="140" spans="2:18" x14ac:dyDescent="0.2">
      <c r="B140" s="118"/>
      <c r="C140" s="119" t="s">
        <v>54</v>
      </c>
      <c r="D140" s="125">
        <v>38</v>
      </c>
      <c r="E140" s="126">
        <v>16.16</v>
      </c>
      <c r="F140" s="113">
        <f t="shared" si="43"/>
        <v>8.1035001504362655E-3</v>
      </c>
      <c r="G140" s="114">
        <f>SUM(E141:E$141)/$E$142</f>
        <v>4.7738441480292847E-2</v>
      </c>
      <c r="J140" s="143">
        <f>SUM($F$115:F125)</f>
        <v>0.73543561470660535</v>
      </c>
      <c r="K140" s="143">
        <f t="shared" si="44"/>
        <v>0.26456438529339465</v>
      </c>
      <c r="L140" s="143">
        <f>SUM($F$130:F140)</f>
        <v>0.95226155851970706</v>
      </c>
      <c r="M140" s="143">
        <v>1</v>
      </c>
      <c r="N140" s="144">
        <f t="shared" si="45"/>
        <v>0.22769578575676017</v>
      </c>
      <c r="O140" s="145">
        <f t="shared" si="46"/>
        <v>0.77230421424323981</v>
      </c>
      <c r="P140" s="144">
        <f t="shared" si="47"/>
        <v>0.86064413206732937</v>
      </c>
      <c r="Q140" s="144">
        <f t="shared" si="48"/>
        <v>0.99999999999999989</v>
      </c>
      <c r="R140" s="146">
        <f t="shared" si="49"/>
        <v>0.96313140046336543</v>
      </c>
    </row>
    <row r="141" spans="2:18" x14ac:dyDescent="0.2">
      <c r="B141" s="127"/>
      <c r="C141" s="128">
        <v>-38</v>
      </c>
      <c r="D141" s="129"/>
      <c r="E141" s="130">
        <f>7.52+87.68</f>
        <v>95.2</v>
      </c>
      <c r="F141" s="113">
        <f t="shared" si="43"/>
        <v>4.7738441480292847E-2</v>
      </c>
      <c r="G141" s="131"/>
    </row>
    <row r="142" spans="2:18" x14ac:dyDescent="0.2">
      <c r="B142" s="132"/>
      <c r="C142" s="133" t="s">
        <v>55</v>
      </c>
      <c r="D142" s="134"/>
      <c r="E142" s="135">
        <f>SUM(E130:E141)</f>
        <v>1994.2</v>
      </c>
      <c r="F142" s="136">
        <f t="shared" si="43"/>
        <v>1</v>
      </c>
      <c r="G142" s="135"/>
    </row>
    <row r="143" spans="2:18" x14ac:dyDescent="0.2">
      <c r="C143" s="137"/>
      <c r="D143" s="138"/>
      <c r="E143" s="139"/>
      <c r="F143" s="140"/>
      <c r="G143" s="139"/>
    </row>
    <row r="144" spans="2:18" x14ac:dyDescent="0.2">
      <c r="B144" s="162" t="s">
        <v>23</v>
      </c>
      <c r="C144" s="177" t="s">
        <v>24</v>
      </c>
      <c r="D144" s="178"/>
      <c r="E144" s="107" t="s">
        <v>25</v>
      </c>
      <c r="F144" s="108" t="s">
        <v>26</v>
      </c>
      <c r="G144" s="107" t="s">
        <v>27</v>
      </c>
    </row>
    <row r="145" spans="2:18" x14ac:dyDescent="0.2">
      <c r="B145" s="163" t="str">
        <f>+D17</f>
        <v>SC-013 O/S from deck2</v>
      </c>
      <c r="C145" s="110" t="s">
        <v>43</v>
      </c>
      <c r="D145" s="111">
        <v>1180</v>
      </c>
      <c r="E145" s="112">
        <f>81+82.53+69.17</f>
        <v>232.7</v>
      </c>
      <c r="F145" s="113">
        <f t="shared" ref="F145:F157" si="50">E145/$E$157</f>
        <v>8.3695100941255166E-2</v>
      </c>
      <c r="G145" s="114">
        <f>SUM(E146:E$156)/$E$157</f>
        <v>0.91630489905874479</v>
      </c>
    </row>
    <row r="146" spans="2:18" x14ac:dyDescent="0.2">
      <c r="B146" s="163" t="s">
        <v>44</v>
      </c>
      <c r="C146" s="111" t="s">
        <v>45</v>
      </c>
      <c r="D146" s="111">
        <v>600</v>
      </c>
      <c r="E146" s="112">
        <f>199.82+192.92+177.77</f>
        <v>570.51</v>
      </c>
      <c r="F146" s="113">
        <f t="shared" si="50"/>
        <v>0.20519506677264926</v>
      </c>
      <c r="G146" s="114">
        <f>SUM(E147:E$156)/$E$157</f>
        <v>0.71110983228609548</v>
      </c>
    </row>
    <row r="147" spans="2:18" x14ac:dyDescent="0.2">
      <c r="B147" s="164">
        <f>FORECAST(0.8,D145:D146,G145:G146)</f>
        <v>851.25505249688922</v>
      </c>
      <c r="C147" s="111" t="s">
        <v>46</v>
      </c>
      <c r="D147" s="111">
        <v>425</v>
      </c>
      <c r="E147" s="112">
        <f>188.47+169.39+156.05</f>
        <v>513.91000000000008</v>
      </c>
      <c r="F147" s="113">
        <f t="shared" si="50"/>
        <v>0.18483777105595378</v>
      </c>
      <c r="G147" s="114">
        <f>SUM(E148:E$156)/$E$157</f>
        <v>0.52627206123014159</v>
      </c>
    </row>
    <row r="148" spans="2:18" x14ac:dyDescent="0.2">
      <c r="B148" s="118"/>
      <c r="C148" s="111" t="s">
        <v>47</v>
      </c>
      <c r="D148" s="111">
        <v>300</v>
      </c>
      <c r="E148" s="112">
        <f>233.7+202.01+187.72</f>
        <v>623.42999999999995</v>
      </c>
      <c r="F148" s="113">
        <f t="shared" si="50"/>
        <v>0.2242287785982239</v>
      </c>
      <c r="G148" s="114">
        <f>SUM(E149:E$156)/$E$157</f>
        <v>0.30204328263191776</v>
      </c>
      <c r="H148" s="116"/>
      <c r="J148" s="143">
        <f t="shared" ref="J148:J155" si="51">J133</f>
        <v>1.8207676370404186E-2</v>
      </c>
      <c r="K148" s="143">
        <f>1-J148</f>
        <v>0.98179232362959579</v>
      </c>
      <c r="L148" s="143">
        <f>SUM($F$145:F148)</f>
        <v>0.69795671736808207</v>
      </c>
      <c r="M148" s="143">
        <v>1</v>
      </c>
      <c r="N148" s="144">
        <f>+(L148-J148)/(L148+M148-1)</f>
        <v>0.97391288611840665</v>
      </c>
      <c r="O148" s="145">
        <f>1-N148</f>
        <v>2.6087113881593349E-2</v>
      </c>
      <c r="P148" s="144">
        <f>+N148*M148/K148</f>
        <v>0.99197443560970244</v>
      </c>
      <c r="Q148" s="144">
        <f>+O148*L148/J148</f>
        <v>1.000000000000002</v>
      </c>
      <c r="R148" s="146">
        <f>+N148*M148+O148*L148</f>
        <v>0.99212056248881086</v>
      </c>
    </row>
    <row r="149" spans="2:18" x14ac:dyDescent="0.2">
      <c r="B149" s="118"/>
      <c r="C149" s="119" t="s">
        <v>48</v>
      </c>
      <c r="D149" s="120">
        <v>212</v>
      </c>
      <c r="E149" s="121">
        <f>141.64+120.22+119.25</f>
        <v>381.11</v>
      </c>
      <c r="F149" s="122">
        <f t="shared" si="50"/>
        <v>0.1370736567242018</v>
      </c>
      <c r="G149" s="123">
        <f>SUM(E150:E$156)/$E$157</f>
        <v>0.16496962590771597</v>
      </c>
      <c r="H149" s="124">
        <f>SUM(F150:F156)*100</f>
        <v>16.496962590771595</v>
      </c>
      <c r="I149" s="116">
        <f>($I$207-H149)/($I$207*(100-H149))*10000</f>
        <v>79.006089650787217</v>
      </c>
      <c r="J149" s="143">
        <f t="shared" si="51"/>
        <v>0.16103346560382065</v>
      </c>
      <c r="K149" s="143">
        <f t="shared" ref="K149:K155" si="52">1-J149</f>
        <v>0.83896653439617941</v>
      </c>
      <c r="L149" s="143">
        <f>SUM($F$145:F149)</f>
        <v>0.83503037409228387</v>
      </c>
      <c r="M149" s="143">
        <v>1</v>
      </c>
      <c r="N149" s="144">
        <f t="shared" ref="N149:N155" si="53">+(L149-J149)/(L149+M149-1)</f>
        <v>0.80715256522390399</v>
      </c>
      <c r="O149" s="145">
        <f t="shared" ref="O149:O155" si="54">1-N149</f>
        <v>0.19284743477609601</v>
      </c>
      <c r="P149" s="144">
        <f t="shared" ref="P149:P155" si="55">+N149*M149/K149</f>
        <v>0.96207957306047664</v>
      </c>
      <c r="Q149" s="144">
        <f t="shared" ref="Q149:Q155" si="56">+O149*L149/J149</f>
        <v>1.0000000000000007</v>
      </c>
      <c r="R149" s="146">
        <f t="shared" ref="R149:R155" si="57">+N149*M149+O149*L149</f>
        <v>0.96818603082772481</v>
      </c>
    </row>
    <row r="150" spans="2:18" x14ac:dyDescent="0.2">
      <c r="B150" s="118"/>
      <c r="C150" s="119" t="s">
        <v>49</v>
      </c>
      <c r="D150" s="125">
        <v>180</v>
      </c>
      <c r="E150" s="126">
        <f>28.64+19.04+21.36</f>
        <v>69.039999999999992</v>
      </c>
      <c r="F150" s="113">
        <f t="shared" si="50"/>
        <v>2.4831584739940935E-2</v>
      </c>
      <c r="G150" s="114">
        <f>SUM(E151:E$156)/$E$157</f>
        <v>0.14013804116777503</v>
      </c>
      <c r="J150" s="143">
        <f t="shared" si="51"/>
        <v>0.22930786248551466</v>
      </c>
      <c r="K150" s="143">
        <f t="shared" si="52"/>
        <v>0.77069213751448529</v>
      </c>
      <c r="L150" s="143">
        <f>SUM($F$145:F150)</f>
        <v>0.85986195883222483</v>
      </c>
      <c r="M150" s="143">
        <v>1</v>
      </c>
      <c r="N150" s="144">
        <f t="shared" si="53"/>
        <v>0.7333201450184671</v>
      </c>
      <c r="O150" s="145">
        <f t="shared" si="54"/>
        <v>0.2666798549815329</v>
      </c>
      <c r="P150" s="144">
        <f t="shared" si="55"/>
        <v>0.95150853281500392</v>
      </c>
      <c r="Q150" s="144">
        <f t="shared" si="56"/>
        <v>0.99999999999999956</v>
      </c>
      <c r="R150" s="146">
        <f t="shared" si="57"/>
        <v>0.9626280075039817</v>
      </c>
    </row>
    <row r="151" spans="2:18" x14ac:dyDescent="0.2">
      <c r="B151" s="118"/>
      <c r="C151" s="119" t="s">
        <v>50</v>
      </c>
      <c r="D151" s="125">
        <v>150</v>
      </c>
      <c r="E151" s="126">
        <f>23.93+24.77+21.64</f>
        <v>70.34</v>
      </c>
      <c r="F151" s="113">
        <f t="shared" si="50"/>
        <v>2.5299155136260802E-2</v>
      </c>
      <c r="G151" s="114">
        <f>SUM(E152:E$156)/$E$157</f>
        <v>0.11483888603151421</v>
      </c>
      <c r="J151" s="143">
        <f t="shared" si="51"/>
        <v>0.33077571373389053</v>
      </c>
      <c r="K151" s="143">
        <f t="shared" si="52"/>
        <v>0.66922428626610952</v>
      </c>
      <c r="L151" s="143">
        <f>SUM($F$145:F151)</f>
        <v>0.88516111396848562</v>
      </c>
      <c r="M151" s="143">
        <v>1</v>
      </c>
      <c r="N151" s="144">
        <f t="shared" si="53"/>
        <v>0.62631016149036678</v>
      </c>
      <c r="O151" s="145">
        <f t="shared" si="54"/>
        <v>0.37368983850963322</v>
      </c>
      <c r="P151" s="144">
        <f t="shared" si="55"/>
        <v>0.93587482454472903</v>
      </c>
      <c r="Q151" s="144">
        <f t="shared" si="56"/>
        <v>0.99999999999999967</v>
      </c>
      <c r="R151" s="146">
        <f t="shared" si="57"/>
        <v>0.95708587522425725</v>
      </c>
    </row>
    <row r="152" spans="2:18" x14ac:dyDescent="0.2">
      <c r="B152" s="118"/>
      <c r="C152" s="119" t="s">
        <v>51</v>
      </c>
      <c r="D152" s="125">
        <v>106</v>
      </c>
      <c r="E152" s="150">
        <v>83.74</v>
      </c>
      <c r="F152" s="113">
        <f t="shared" si="50"/>
        <v>3.0118726913711674E-2</v>
      </c>
      <c r="G152" s="114">
        <f>SUM(E153:E$156)/$E$157</f>
        <v>8.4720159117802549E-2</v>
      </c>
      <c r="J152" s="143">
        <f t="shared" si="51"/>
        <v>0.49441654668679991</v>
      </c>
      <c r="K152" s="143">
        <f t="shared" si="52"/>
        <v>0.50558345331320009</v>
      </c>
      <c r="L152" s="143">
        <f>SUM($F$145:F152)</f>
        <v>0.91527984088219727</v>
      </c>
      <c r="M152" s="143">
        <v>1</v>
      </c>
      <c r="N152" s="144">
        <f t="shared" si="53"/>
        <v>0.45981925461151435</v>
      </c>
      <c r="O152" s="145">
        <f t="shared" si="54"/>
        <v>0.54018074538848571</v>
      </c>
      <c r="P152" s="144">
        <f t="shared" si="55"/>
        <v>0.90948240413766934</v>
      </c>
      <c r="Q152" s="144">
        <f t="shared" si="56"/>
        <v>1</v>
      </c>
      <c r="R152" s="146">
        <f t="shared" si="57"/>
        <v>0.95423580129831431</v>
      </c>
    </row>
    <row r="153" spans="2:18" x14ac:dyDescent="0.2">
      <c r="B153" s="118"/>
      <c r="C153" s="119" t="s">
        <v>52</v>
      </c>
      <c r="D153" s="125">
        <v>75</v>
      </c>
      <c r="E153" s="126">
        <v>41.77</v>
      </c>
      <c r="F153" s="113">
        <f t="shared" si="50"/>
        <v>1.5023396503292773E-2</v>
      </c>
      <c r="G153" s="114">
        <f>SUM(E154:E$156)/$E$157</f>
        <v>6.9696762614509786E-2</v>
      </c>
      <c r="J153" s="143">
        <f t="shared" si="51"/>
        <v>0.60153808336552306</v>
      </c>
      <c r="K153" s="143">
        <f t="shared" si="52"/>
        <v>0.39846191663447694</v>
      </c>
      <c r="L153" s="143">
        <f>SUM($F$145:F153)</f>
        <v>0.93030323738549003</v>
      </c>
      <c r="M153" s="143">
        <v>1</v>
      </c>
      <c r="N153" s="144">
        <f t="shared" si="53"/>
        <v>0.35339568950004252</v>
      </c>
      <c r="O153" s="145">
        <f t="shared" si="54"/>
        <v>0.64660431049995748</v>
      </c>
      <c r="P153" s="144">
        <f t="shared" si="55"/>
        <v>0.88689953731318505</v>
      </c>
      <c r="Q153" s="144">
        <f t="shared" si="56"/>
        <v>1</v>
      </c>
      <c r="R153" s="146">
        <f t="shared" si="57"/>
        <v>0.95493377286556558</v>
      </c>
    </row>
    <row r="154" spans="2:18" x14ac:dyDescent="0.2">
      <c r="B154" s="118"/>
      <c r="C154" s="119" t="s">
        <v>53</v>
      </c>
      <c r="D154" s="125">
        <v>53</v>
      </c>
      <c r="E154" s="126">
        <v>39.549999999999997</v>
      </c>
      <c r="F154" s="113">
        <f t="shared" si="50"/>
        <v>1.4224930134192701E-2</v>
      </c>
      <c r="G154" s="114">
        <f>SUM(E155:E$156)/$E$157</f>
        <v>5.5471832480317076E-2</v>
      </c>
      <c r="J154" s="143">
        <f t="shared" si="51"/>
        <v>0.69034659549812127</v>
      </c>
      <c r="K154" s="143">
        <f t="shared" si="52"/>
        <v>0.30965340450187873</v>
      </c>
      <c r="L154" s="143">
        <f>SUM($F$145:F154)</f>
        <v>0.94452816751968272</v>
      </c>
      <c r="M154" s="143">
        <v>1</v>
      </c>
      <c r="N154" s="144">
        <f t="shared" si="53"/>
        <v>0.26910957318407835</v>
      </c>
      <c r="O154" s="145">
        <f t="shared" si="54"/>
        <v>0.73089042681592165</v>
      </c>
      <c r="P154" s="144">
        <f t="shared" si="55"/>
        <v>0.86906705778668625</v>
      </c>
      <c r="Q154" s="144">
        <f t="shared" si="56"/>
        <v>1</v>
      </c>
      <c r="R154" s="146">
        <f t="shared" si="57"/>
        <v>0.95945616868219963</v>
      </c>
    </row>
    <row r="155" spans="2:18" x14ac:dyDescent="0.2">
      <c r="B155" s="118"/>
      <c r="C155" s="119" t="s">
        <v>54</v>
      </c>
      <c r="D155" s="125">
        <v>38</v>
      </c>
      <c r="E155" s="126">
        <v>23.98</v>
      </c>
      <c r="F155" s="113">
        <f t="shared" si="50"/>
        <v>8.6248754644232869E-3</v>
      </c>
      <c r="G155" s="114">
        <f>SUM(E156:E$156)/$E$157</f>
        <v>4.6846957015893788E-2</v>
      </c>
      <c r="J155" s="143">
        <f t="shared" si="51"/>
        <v>0.73543561470660535</v>
      </c>
      <c r="K155" s="143">
        <f t="shared" si="52"/>
        <v>0.26456438529339465</v>
      </c>
      <c r="L155" s="143">
        <f>SUM($F$145:F155)</f>
        <v>0.95315304298410597</v>
      </c>
      <c r="M155" s="143">
        <v>1</v>
      </c>
      <c r="N155" s="144">
        <f t="shared" si="53"/>
        <v>0.22841812223132263</v>
      </c>
      <c r="O155" s="145">
        <f t="shared" si="54"/>
        <v>0.77158187776867737</v>
      </c>
      <c r="P155" s="144">
        <f t="shared" si="55"/>
        <v>0.86337441820830563</v>
      </c>
      <c r="Q155" s="144">
        <f t="shared" si="56"/>
        <v>1</v>
      </c>
      <c r="R155" s="146">
        <f t="shared" si="57"/>
        <v>0.96385373693792797</v>
      </c>
    </row>
    <row r="156" spans="2:18" x14ac:dyDescent="0.2">
      <c r="B156" s="127"/>
      <c r="C156" s="128">
        <v>-38</v>
      </c>
      <c r="D156" s="129"/>
      <c r="E156" s="130">
        <f>14.13+116.12</f>
        <v>130.25</v>
      </c>
      <c r="F156" s="113">
        <f t="shared" si="50"/>
        <v>4.6846957015893788E-2</v>
      </c>
      <c r="G156" s="131"/>
      <c r="J156" s="143"/>
    </row>
    <row r="157" spans="2:18" x14ac:dyDescent="0.2">
      <c r="B157" s="132"/>
      <c r="C157" s="133" t="s">
        <v>55</v>
      </c>
      <c r="D157" s="134"/>
      <c r="E157" s="135">
        <f>SUM(E145:E156)</f>
        <v>2780.3300000000004</v>
      </c>
      <c r="F157" s="136">
        <f t="shared" si="50"/>
        <v>1</v>
      </c>
      <c r="G157" s="135"/>
      <c r="J157" s="143"/>
    </row>
    <row r="158" spans="2:18" x14ac:dyDescent="0.2">
      <c r="C158" s="137"/>
      <c r="D158" s="138"/>
      <c r="E158" s="139"/>
      <c r="F158" s="140"/>
      <c r="G158" s="139"/>
      <c r="J158" s="143"/>
    </row>
    <row r="159" spans="2:18" x14ac:dyDescent="0.2">
      <c r="B159" s="162" t="s">
        <v>23</v>
      </c>
      <c r="C159" s="177" t="s">
        <v>24</v>
      </c>
      <c r="D159" s="178"/>
      <c r="E159" s="107" t="s">
        <v>25</v>
      </c>
      <c r="F159" s="108" t="s">
        <v>26</v>
      </c>
      <c r="G159" s="107" t="s">
        <v>27</v>
      </c>
      <c r="J159" s="143"/>
    </row>
    <row r="160" spans="2:18" x14ac:dyDescent="0.2">
      <c r="B160" s="163" t="str">
        <f>+E17</f>
        <v>SC-013 O/S from deck3</v>
      </c>
      <c r="C160" s="110" t="s">
        <v>43</v>
      </c>
      <c r="D160" s="111">
        <v>1180</v>
      </c>
      <c r="E160" s="112">
        <f>119.67+88.04</f>
        <v>207.71</v>
      </c>
      <c r="F160" s="113">
        <f t="shared" ref="F160:F172" si="58">E160/$E$172</f>
        <v>8.727054246303681E-2</v>
      </c>
      <c r="G160" s="114">
        <f>SUM(E161:E$171)/$E$172</f>
        <v>0.91272945753696322</v>
      </c>
      <c r="J160" s="143"/>
    </row>
    <row r="161" spans="2:18" x14ac:dyDescent="0.2">
      <c r="B161" s="163" t="s">
        <v>44</v>
      </c>
      <c r="C161" s="111" t="s">
        <v>45</v>
      </c>
      <c r="D161" s="111">
        <v>600</v>
      </c>
      <c r="E161" s="112">
        <f>284.26+209.5</f>
        <v>493.76</v>
      </c>
      <c r="F161" s="113">
        <f t="shared" si="58"/>
        <v>0.20745608322444301</v>
      </c>
      <c r="G161" s="114">
        <f>SUM(E162:E$171)/$E$172</f>
        <v>0.70527337431252013</v>
      </c>
      <c r="J161" s="143"/>
    </row>
    <row r="162" spans="2:18" x14ac:dyDescent="0.2">
      <c r="B162" s="164">
        <f>FORECAST(0.8,D160:D161,G160:G161)</f>
        <v>864.83408943616405</v>
      </c>
      <c r="C162" s="111" t="s">
        <v>46</v>
      </c>
      <c r="D162" s="111">
        <v>425</v>
      </c>
      <c r="E162" s="112">
        <f>265.72+206.45</f>
        <v>472.17</v>
      </c>
      <c r="F162" s="113">
        <f t="shared" si="58"/>
        <v>0.1983849214518901</v>
      </c>
      <c r="G162" s="114">
        <f>SUM(E163:E$171)/$E$172</f>
        <v>0.50688845286063022</v>
      </c>
      <c r="J162" s="143"/>
    </row>
    <row r="163" spans="2:18" x14ac:dyDescent="0.2">
      <c r="B163" s="118"/>
      <c r="C163" s="111" t="s">
        <v>47</v>
      </c>
      <c r="D163" s="111">
        <v>300</v>
      </c>
      <c r="E163" s="112">
        <f>291.26+235.62</f>
        <v>526.88</v>
      </c>
      <c r="F163" s="113">
        <f t="shared" si="58"/>
        <v>0.22137164032990628</v>
      </c>
      <c r="G163" s="114">
        <f>SUM(E164:E$171)/$E$172</f>
        <v>0.28551681253072392</v>
      </c>
      <c r="H163" s="116"/>
      <c r="J163" s="143">
        <f t="shared" ref="J163:J170" si="59">J148</f>
        <v>1.8207676370404186E-2</v>
      </c>
      <c r="K163" s="143">
        <f>1-J163</f>
        <v>0.98179232362959579</v>
      </c>
      <c r="L163" s="143">
        <f>SUM($F$160:F163)</f>
        <v>0.71448318746927619</v>
      </c>
      <c r="M163" s="143">
        <v>1</v>
      </c>
      <c r="N163" s="144">
        <f>+(L163-J163)/(L163+M163-1)</f>
        <v>0.97451629836820053</v>
      </c>
      <c r="O163" s="145">
        <f>1-N163</f>
        <v>2.5483701631799471E-2</v>
      </c>
      <c r="P163" s="144">
        <f>+N163*M163/K163</f>
        <v>0.99258903834723777</v>
      </c>
      <c r="Q163" s="144">
        <f>+O163*L163/J163</f>
        <v>0.99999999999999434</v>
      </c>
      <c r="R163" s="146">
        <f>+N163*M163+O163*L163</f>
        <v>0.99272397473860463</v>
      </c>
    </row>
    <row r="164" spans="2:18" x14ac:dyDescent="0.2">
      <c r="B164" s="118"/>
      <c r="C164" s="119" t="s">
        <v>48</v>
      </c>
      <c r="D164" s="120">
        <v>212</v>
      </c>
      <c r="E164" s="121">
        <f>140.41+123.2</f>
        <v>263.61</v>
      </c>
      <c r="F164" s="122">
        <f t="shared" si="58"/>
        <v>0.11075724663560317</v>
      </c>
      <c r="G164" s="123">
        <f>SUM(E165:E$171)/$E$172</f>
        <v>0.17475956589512076</v>
      </c>
      <c r="H164" s="124">
        <f>SUM(F165:F171)*100</f>
        <v>17.475956589512077</v>
      </c>
      <c r="I164" s="116">
        <f>($I$207-H164)/($I$207*(100-H164))*10000</f>
        <v>77.496395823148475</v>
      </c>
      <c r="J164" s="143">
        <f t="shared" si="59"/>
        <v>0.16103346560382065</v>
      </c>
      <c r="K164" s="143">
        <f t="shared" ref="K164:K170" si="60">1-J164</f>
        <v>0.83896653439617941</v>
      </c>
      <c r="L164" s="143">
        <f>SUM($F$160:F164)</f>
        <v>0.82524043410487935</v>
      </c>
      <c r="M164" s="143">
        <v>1</v>
      </c>
      <c r="N164" s="144">
        <f t="shared" ref="N164:N170" si="61">+(L164-J164)/(L164+M164-1)</f>
        <v>0.8048647897645852</v>
      </c>
      <c r="O164" s="145">
        <f t="shared" ref="O164:O170" si="62">1-N164</f>
        <v>0.1951352102354148</v>
      </c>
      <c r="P164" s="144">
        <f t="shared" ref="P164:P170" si="63">+N164*M164/K164</f>
        <v>0.95935267590126472</v>
      </c>
      <c r="Q164" s="144">
        <f t="shared" ref="Q164:Q170" si="64">+O164*L164/J164</f>
        <v>0.99999999999999978</v>
      </c>
      <c r="R164" s="146">
        <f t="shared" ref="R164:R170" si="65">+N164*M164+O164*L164</f>
        <v>0.96589825536840579</v>
      </c>
    </row>
    <row r="165" spans="2:18" x14ac:dyDescent="0.2">
      <c r="B165" s="118"/>
      <c r="C165" s="119" t="s">
        <v>49</v>
      </c>
      <c r="D165" s="125">
        <v>180</v>
      </c>
      <c r="E165" s="126">
        <f>19.2+23.77</f>
        <v>42.97</v>
      </c>
      <c r="F165" s="113">
        <f t="shared" si="58"/>
        <v>1.8054090846067555E-2</v>
      </c>
      <c r="G165" s="114">
        <f>SUM(E166:E$171)/$E$172</f>
        <v>0.15670547504905322</v>
      </c>
      <c r="J165" s="143">
        <f t="shared" si="59"/>
        <v>0.22930786248551466</v>
      </c>
      <c r="K165" s="143">
        <f t="shared" si="60"/>
        <v>0.77069213751448529</v>
      </c>
      <c r="L165" s="143">
        <f>SUM($F$160:F165)</f>
        <v>0.84329452495094692</v>
      </c>
      <c r="M165" s="143">
        <v>1</v>
      </c>
      <c r="N165" s="144">
        <f t="shared" si="61"/>
        <v>0.72808093056354994</v>
      </c>
      <c r="O165" s="145">
        <f t="shared" si="62"/>
        <v>0.27191906943645006</v>
      </c>
      <c r="P165" s="144">
        <f t="shared" si="63"/>
        <v>0.94471046884121812</v>
      </c>
      <c r="Q165" s="144">
        <f t="shared" si="64"/>
        <v>1.0000000000000002</v>
      </c>
      <c r="R165" s="146">
        <f t="shared" si="65"/>
        <v>0.95738879304906466</v>
      </c>
    </row>
    <row r="166" spans="2:18" x14ac:dyDescent="0.2">
      <c r="B166" s="118"/>
      <c r="C166" s="119" t="s">
        <v>50</v>
      </c>
      <c r="D166" s="125">
        <v>150</v>
      </c>
      <c r="E166" s="126">
        <f>25.89+22.3</f>
        <v>48.19</v>
      </c>
      <c r="F166" s="113">
        <f t="shared" si="58"/>
        <v>2.0247303650732962E-2</v>
      </c>
      <c r="G166" s="114">
        <f>SUM(E167:E$171)/$E$172</f>
        <v>0.13645817139832025</v>
      </c>
      <c r="J166" s="143">
        <f t="shared" si="59"/>
        <v>0.33077571373389053</v>
      </c>
      <c r="K166" s="143">
        <f t="shared" si="60"/>
        <v>0.66922428626610952</v>
      </c>
      <c r="L166" s="143">
        <f>SUM($F$160:F166)</f>
        <v>0.86354182860167983</v>
      </c>
      <c r="M166" s="143">
        <v>1</v>
      </c>
      <c r="N166" s="144">
        <f t="shared" si="61"/>
        <v>0.61695461322410916</v>
      </c>
      <c r="O166" s="145">
        <f t="shared" si="62"/>
        <v>0.38304538677589084</v>
      </c>
      <c r="P166" s="144">
        <f t="shared" si="63"/>
        <v>0.92189513424021807</v>
      </c>
      <c r="Q166" s="144">
        <f t="shared" si="64"/>
        <v>0.99999999999999978</v>
      </c>
      <c r="R166" s="146">
        <f t="shared" si="65"/>
        <v>0.94773032695799964</v>
      </c>
    </row>
    <row r="167" spans="2:18" x14ac:dyDescent="0.2">
      <c r="B167" s="118"/>
      <c r="C167" s="119" t="s">
        <v>51</v>
      </c>
      <c r="D167" s="125">
        <v>106</v>
      </c>
      <c r="E167" s="126">
        <v>63.34</v>
      </c>
      <c r="F167" s="113">
        <f t="shared" si="58"/>
        <v>2.6612662652779125E-2</v>
      </c>
      <c r="G167" s="114">
        <f>SUM(E168:E$171)/$E$172</f>
        <v>0.10984550874554111</v>
      </c>
      <c r="J167" s="143">
        <f t="shared" si="59"/>
        <v>0.49441654668679991</v>
      </c>
      <c r="K167" s="143">
        <f t="shared" si="60"/>
        <v>0.50558345331320009</v>
      </c>
      <c r="L167" s="143">
        <f>SUM($F$160:F167)</f>
        <v>0.890154491254459</v>
      </c>
      <c r="M167" s="143">
        <v>1</v>
      </c>
      <c r="N167" s="144">
        <f t="shared" si="61"/>
        <v>0.44457220455065222</v>
      </c>
      <c r="O167" s="145">
        <f t="shared" si="62"/>
        <v>0.55542779544934784</v>
      </c>
      <c r="P167" s="144">
        <f t="shared" si="63"/>
        <v>0.87932506817078826</v>
      </c>
      <c r="Q167" s="144">
        <f t="shared" si="64"/>
        <v>1.0000000000000002</v>
      </c>
      <c r="R167" s="146">
        <f t="shared" si="65"/>
        <v>0.93898875123745218</v>
      </c>
    </row>
    <row r="168" spans="2:18" x14ac:dyDescent="0.2">
      <c r="B168" s="118"/>
      <c r="C168" s="119" t="s">
        <v>52</v>
      </c>
      <c r="D168" s="125">
        <v>75</v>
      </c>
      <c r="E168" s="126">
        <v>40.619999999999997</v>
      </c>
      <c r="F168" s="113">
        <f t="shared" si="58"/>
        <v>1.7066724928258413E-2</v>
      </c>
      <c r="G168" s="114">
        <f>SUM(E169:E$171)/$E$172</f>
        <v>9.277878381728269E-2</v>
      </c>
      <c r="J168" s="143">
        <f t="shared" si="59"/>
        <v>0.60153808336552306</v>
      </c>
      <c r="K168" s="143">
        <f t="shared" si="60"/>
        <v>0.39846191663447694</v>
      </c>
      <c r="L168" s="143">
        <f>SUM($F$160:F168)</f>
        <v>0.90722121618271745</v>
      </c>
      <c r="M168" s="143">
        <v>1</v>
      </c>
      <c r="N168" s="144">
        <f t="shared" si="61"/>
        <v>0.33694442696502019</v>
      </c>
      <c r="O168" s="145">
        <f t="shared" si="62"/>
        <v>0.66305557303497986</v>
      </c>
      <c r="P168" s="144">
        <f t="shared" si="63"/>
        <v>0.84561262418990746</v>
      </c>
      <c r="Q168" s="144">
        <f t="shared" si="64"/>
        <v>1</v>
      </c>
      <c r="R168" s="146">
        <f t="shared" si="65"/>
        <v>0.9384825103305432</v>
      </c>
    </row>
    <row r="169" spans="2:18" x14ac:dyDescent="0.2">
      <c r="B169" s="118"/>
      <c r="C169" s="119" t="s">
        <v>53</v>
      </c>
      <c r="D169" s="125">
        <v>53</v>
      </c>
      <c r="E169" s="126">
        <v>39.700000000000003</v>
      </c>
      <c r="F169" s="113">
        <f t="shared" si="58"/>
        <v>1.6680181675328878E-2</v>
      </c>
      <c r="G169" s="114">
        <f>SUM(E170:E$171)/$E$172</f>
        <v>7.6098602141953825E-2</v>
      </c>
      <c r="J169" s="143">
        <f t="shared" si="59"/>
        <v>0.69034659549812127</v>
      </c>
      <c r="K169" s="143">
        <f t="shared" si="60"/>
        <v>0.30965340450187873</v>
      </c>
      <c r="L169" s="143">
        <f>SUM($F$160:F169)</f>
        <v>0.92390139785804637</v>
      </c>
      <c r="M169" s="143">
        <v>1</v>
      </c>
      <c r="N169" s="144">
        <f t="shared" si="61"/>
        <v>0.25279191361913039</v>
      </c>
      <c r="O169" s="145">
        <f t="shared" si="62"/>
        <v>0.74720808638086966</v>
      </c>
      <c r="P169" s="144">
        <f t="shared" si="63"/>
        <v>0.8163705289330887</v>
      </c>
      <c r="Q169" s="144">
        <f t="shared" si="64"/>
        <v>1.0000000000000002</v>
      </c>
      <c r="R169" s="146">
        <f t="shared" si="65"/>
        <v>0.94313850911725172</v>
      </c>
    </row>
    <row r="170" spans="2:18" x14ac:dyDescent="0.2">
      <c r="B170" s="118"/>
      <c r="C170" s="119" t="s">
        <v>54</v>
      </c>
      <c r="D170" s="125">
        <v>38</v>
      </c>
      <c r="E170" s="126">
        <v>28.61</v>
      </c>
      <c r="F170" s="113">
        <f t="shared" si="58"/>
        <v>1.202065485468915E-2</v>
      </c>
      <c r="G170" s="114">
        <f>SUM(E171:E$171)/$E$172</f>
        <v>6.4077947287264667E-2</v>
      </c>
      <c r="J170" s="143">
        <f t="shared" si="59"/>
        <v>0.73543561470660535</v>
      </c>
      <c r="K170" s="143">
        <f t="shared" si="60"/>
        <v>0.26456438529339465</v>
      </c>
      <c r="L170" s="143">
        <f>SUM($F$160:F170)</f>
        <v>0.93592205271273554</v>
      </c>
      <c r="M170" s="143">
        <v>1</v>
      </c>
      <c r="N170" s="144">
        <f t="shared" si="61"/>
        <v>0.21421275139850335</v>
      </c>
      <c r="O170" s="145">
        <f t="shared" si="62"/>
        <v>0.78578724860149662</v>
      </c>
      <c r="P170" s="144">
        <f t="shared" si="63"/>
        <v>0.80968098242303954</v>
      </c>
      <c r="Q170" s="144">
        <f t="shared" si="64"/>
        <v>1</v>
      </c>
      <c r="R170" s="146">
        <f t="shared" si="65"/>
        <v>0.94964836610510872</v>
      </c>
    </row>
    <row r="171" spans="2:18" x14ac:dyDescent="0.2">
      <c r="B171" s="127"/>
      <c r="C171" s="128">
        <v>-38</v>
      </c>
      <c r="D171" s="129"/>
      <c r="E171" s="130">
        <f>11.69+140.82</f>
        <v>152.51</v>
      </c>
      <c r="F171" s="113">
        <f t="shared" si="58"/>
        <v>6.4077947287264667E-2</v>
      </c>
      <c r="G171" s="131"/>
    </row>
    <row r="172" spans="2:18" x14ac:dyDescent="0.2">
      <c r="B172" s="132"/>
      <c r="C172" s="133" t="s">
        <v>55</v>
      </c>
      <c r="D172" s="134"/>
      <c r="E172" s="135">
        <f>SUM(E160:E171)</f>
        <v>2380.0699999999997</v>
      </c>
      <c r="F172" s="136">
        <f t="shared" si="58"/>
        <v>1</v>
      </c>
      <c r="G172" s="135"/>
    </row>
    <row r="173" spans="2:18" x14ac:dyDescent="0.2">
      <c r="C173" s="137"/>
      <c r="D173" s="138"/>
      <c r="E173" s="139"/>
      <c r="F173" s="140"/>
      <c r="G173" s="139"/>
    </row>
    <row r="174" spans="2:18" x14ac:dyDescent="0.2">
      <c r="B174" s="162" t="s">
        <v>23</v>
      </c>
      <c r="C174" s="177" t="s">
        <v>24</v>
      </c>
      <c r="D174" s="178"/>
      <c r="E174" s="107" t="s">
        <v>25</v>
      </c>
      <c r="F174" s="108" t="s">
        <v>26</v>
      </c>
      <c r="G174" s="107" t="s">
        <v>27</v>
      </c>
    </row>
    <row r="175" spans="2:18" x14ac:dyDescent="0.2">
      <c r="B175" s="163" t="str">
        <f>+F17</f>
        <v>SC-013 O/S from deck4</v>
      </c>
      <c r="C175" s="110" t="s">
        <v>43</v>
      </c>
      <c r="D175" s="111">
        <v>1180</v>
      </c>
      <c r="E175" s="112">
        <f>123.9+95.03</f>
        <v>218.93</v>
      </c>
      <c r="F175" s="113">
        <f t="shared" ref="F175:F187" si="66">E175/$E$187</f>
        <v>8.7337585919392335E-2</v>
      </c>
      <c r="G175" s="114">
        <f>SUM(E176:E$186)/$E$187</f>
        <v>0.91266241408060733</v>
      </c>
    </row>
    <row r="176" spans="2:18" x14ac:dyDescent="0.2">
      <c r="B176" s="163" t="s">
        <v>44</v>
      </c>
      <c r="C176" s="111" t="s">
        <v>45</v>
      </c>
      <c r="D176" s="111">
        <v>600</v>
      </c>
      <c r="E176" s="112">
        <f>286.02+234.04</f>
        <v>520.05999999999995</v>
      </c>
      <c r="F176" s="113">
        <f t="shared" si="66"/>
        <v>0.20746715814753197</v>
      </c>
      <c r="G176" s="114">
        <f>SUM(E177:E$186)/$E$187</f>
        <v>0.70519525593307542</v>
      </c>
    </row>
    <row r="177" spans="2:18" x14ac:dyDescent="0.2">
      <c r="B177" s="164">
        <f>FORECAST(0.8,D175:D176,G175:G176)</f>
        <v>865.03834172980123</v>
      </c>
      <c r="C177" s="111" t="s">
        <v>46</v>
      </c>
      <c r="D177" s="111">
        <v>425</v>
      </c>
      <c r="E177" s="112">
        <f>257.55+238.04</f>
        <v>495.59000000000003</v>
      </c>
      <c r="F177" s="113">
        <f t="shared" si="66"/>
        <v>0.19770535881693532</v>
      </c>
      <c r="G177" s="114">
        <f>SUM(E178:E$186)/$E$187</f>
        <v>0.50748989711614023</v>
      </c>
    </row>
    <row r="178" spans="2:18" x14ac:dyDescent="0.2">
      <c r="B178" s="118"/>
      <c r="C178" s="111" t="s">
        <v>47</v>
      </c>
      <c r="D178" s="111">
        <v>300</v>
      </c>
      <c r="E178" s="112">
        <f>282.34+271.96</f>
        <v>554.29999999999995</v>
      </c>
      <c r="F178" s="113">
        <f t="shared" si="66"/>
        <v>0.22112649648343838</v>
      </c>
      <c r="G178" s="114">
        <f>SUM(E179:E$186)/$E$187</f>
        <v>0.28636340063270177</v>
      </c>
      <c r="H178" s="116"/>
      <c r="J178" s="145">
        <f t="shared" ref="J178:J185" si="67">J163</f>
        <v>1.8207676370404186E-2</v>
      </c>
      <c r="K178" s="143">
        <f>1-J178</f>
        <v>0.98179232362959579</v>
      </c>
      <c r="L178" s="143">
        <f>SUM($F$175:F178)</f>
        <v>0.71363659936729806</v>
      </c>
      <c r="M178" s="143">
        <v>1</v>
      </c>
      <c r="N178" s="144">
        <f>+(L178-J178)/(L178+M178-1)</f>
        <v>0.97448606701709661</v>
      </c>
      <c r="O178" s="145">
        <f>1-N178</f>
        <v>2.5513932982903387E-2</v>
      </c>
      <c r="P178" s="144">
        <f>+N178*M178/K178</f>
        <v>0.9925582463453283</v>
      </c>
      <c r="Q178" s="144">
        <f>+O178*L178/J178</f>
        <v>1.0000000000000073</v>
      </c>
      <c r="R178" s="146">
        <f>+N178*M178+O178*L178</f>
        <v>0.99269374338750094</v>
      </c>
    </row>
    <row r="179" spans="2:18" x14ac:dyDescent="0.2">
      <c r="B179" s="118"/>
      <c r="C179" s="119" t="s">
        <v>48</v>
      </c>
      <c r="D179" s="120">
        <v>212</v>
      </c>
      <c r="E179" s="121">
        <f>142.82+149.62</f>
        <v>292.44</v>
      </c>
      <c r="F179" s="122">
        <f t="shared" si="66"/>
        <v>0.11666287683856527</v>
      </c>
      <c r="G179" s="123">
        <f>SUM(E180:E$186)/$E$187</f>
        <v>0.1697005237941365</v>
      </c>
      <c r="H179" s="124">
        <f>SUM(F180:F186)*100</f>
        <v>16.970052379413648</v>
      </c>
      <c r="I179" s="116">
        <f>($I$207-H179)/($I$207*(100-H179))*10000</f>
        <v>78.280989227034908</v>
      </c>
      <c r="J179" s="145">
        <f t="shared" si="67"/>
        <v>0.16103346560382065</v>
      </c>
      <c r="K179" s="143">
        <f t="shared" ref="K179:K185" si="68">1-J179</f>
        <v>0.83896653439617941</v>
      </c>
      <c r="L179" s="143">
        <f>SUM($F$175:F179)</f>
        <v>0.83029947620586331</v>
      </c>
      <c r="M179" s="143">
        <v>1</v>
      </c>
      <c r="N179" s="144">
        <f t="shared" ref="N179:N185" si="69">+(L179-J179)/(L179+M179-1)</f>
        <v>0.80605375503826748</v>
      </c>
      <c r="O179" s="145">
        <f t="shared" ref="O179:O185" si="70">1-N179</f>
        <v>0.19394624496173252</v>
      </c>
      <c r="P179" s="144">
        <f t="shared" ref="P179:P185" si="71">+N179*M179/K179</f>
        <v>0.96076985432845674</v>
      </c>
      <c r="Q179" s="144">
        <f t="shared" ref="Q179:Q185" si="72">+O179*L179/J179</f>
        <v>0.99999999999999944</v>
      </c>
      <c r="R179" s="146">
        <f t="shared" ref="R179:R185" si="73">+N179*M179+O179*L179</f>
        <v>0.96708722064208807</v>
      </c>
    </row>
    <row r="180" spans="2:18" x14ac:dyDescent="0.2">
      <c r="B180" s="118"/>
      <c r="C180" s="119" t="s">
        <v>49</v>
      </c>
      <c r="D180" s="125">
        <v>180</v>
      </c>
      <c r="E180" s="126">
        <f>17.37+30.22</f>
        <v>47.59</v>
      </c>
      <c r="F180" s="113">
        <f t="shared" si="66"/>
        <v>1.8985044141524146E-2</v>
      </c>
      <c r="G180" s="114">
        <f>SUM(E181:E$186)/$E$187</f>
        <v>0.15071547965261234</v>
      </c>
      <c r="J180" s="145">
        <f t="shared" si="67"/>
        <v>0.22930786248551466</v>
      </c>
      <c r="K180" s="143">
        <f t="shared" si="68"/>
        <v>0.77069213751448529</v>
      </c>
      <c r="L180" s="143">
        <f>SUM($F$175:F180)</f>
        <v>0.84928452034738744</v>
      </c>
      <c r="M180" s="143">
        <v>1</v>
      </c>
      <c r="N180" s="144">
        <f t="shared" si="69"/>
        <v>0.72999877309465211</v>
      </c>
      <c r="O180" s="145">
        <f t="shared" si="70"/>
        <v>0.27000122690534789</v>
      </c>
      <c r="P180" s="144">
        <f t="shared" si="71"/>
        <v>0.94719893659344834</v>
      </c>
      <c r="Q180" s="144">
        <f t="shared" si="72"/>
        <v>0.99999999999999922</v>
      </c>
      <c r="R180" s="146">
        <f t="shared" si="73"/>
        <v>0.9593066355801666</v>
      </c>
    </row>
    <row r="181" spans="2:18" x14ac:dyDescent="0.2">
      <c r="B181" s="118"/>
      <c r="C181" s="119" t="s">
        <v>50</v>
      </c>
      <c r="D181" s="125">
        <v>150</v>
      </c>
      <c r="E181" s="150">
        <f>22.63+25.94</f>
        <v>48.57</v>
      </c>
      <c r="F181" s="113">
        <f t="shared" si="66"/>
        <v>1.9375994829876609E-2</v>
      </c>
      <c r="G181" s="114">
        <f>SUM(E182:E$186)/$E$187</f>
        <v>0.13133948482273575</v>
      </c>
      <c r="J181" s="145">
        <f t="shared" si="67"/>
        <v>0.33077571373389053</v>
      </c>
      <c r="K181" s="143">
        <f t="shared" si="68"/>
        <v>0.66922428626610952</v>
      </c>
      <c r="L181" s="143">
        <f>SUM($F$175:F181)</f>
        <v>0.86866051517726406</v>
      </c>
      <c r="M181" s="143">
        <v>1</v>
      </c>
      <c r="N181" s="144">
        <f t="shared" si="69"/>
        <v>0.61921175424165498</v>
      </c>
      <c r="O181" s="145">
        <f t="shared" si="70"/>
        <v>0.38078824575834502</v>
      </c>
      <c r="P181" s="144">
        <f t="shared" si="71"/>
        <v>0.92526790636440293</v>
      </c>
      <c r="Q181" s="144">
        <f t="shared" si="72"/>
        <v>1.0000000000000004</v>
      </c>
      <c r="R181" s="146">
        <f t="shared" si="73"/>
        <v>0.94998746797554556</v>
      </c>
    </row>
    <row r="182" spans="2:18" x14ac:dyDescent="0.2">
      <c r="B182" s="118"/>
      <c r="C182" s="119" t="s">
        <v>51</v>
      </c>
      <c r="D182" s="125">
        <v>106</v>
      </c>
      <c r="E182" s="126">
        <v>64.78</v>
      </c>
      <c r="F182" s="113">
        <f t="shared" si="66"/>
        <v>2.5842638358645392E-2</v>
      </c>
      <c r="G182" s="114">
        <f>SUM(E183:E$186)/$E$187</f>
        <v>0.10549684646409035</v>
      </c>
      <c r="J182" s="145">
        <f t="shared" si="67"/>
        <v>0.49441654668679991</v>
      </c>
      <c r="K182" s="143">
        <f t="shared" si="68"/>
        <v>0.50558345331320009</v>
      </c>
      <c r="L182" s="143">
        <f>SUM($F$175:F182)</f>
        <v>0.89450315353590948</v>
      </c>
      <c r="M182" s="143">
        <v>1</v>
      </c>
      <c r="N182" s="144">
        <f t="shared" si="69"/>
        <v>0.4472724386354533</v>
      </c>
      <c r="O182" s="145">
        <f t="shared" si="70"/>
        <v>0.5527275613645467</v>
      </c>
      <c r="P182" s="144">
        <f t="shared" si="71"/>
        <v>0.88466589581676014</v>
      </c>
      <c r="Q182" s="144">
        <f t="shared" si="72"/>
        <v>1.0000000000000002</v>
      </c>
      <c r="R182" s="146">
        <f t="shared" si="73"/>
        <v>0.9416889853222532</v>
      </c>
    </row>
    <row r="183" spans="2:18" x14ac:dyDescent="0.2">
      <c r="B183" s="118"/>
      <c r="C183" s="119" t="s">
        <v>52</v>
      </c>
      <c r="D183" s="125">
        <v>75</v>
      </c>
      <c r="E183" s="126">
        <v>38.92</v>
      </c>
      <c r="F183" s="113">
        <f t="shared" si="66"/>
        <v>1.5526327337426345E-2</v>
      </c>
      <c r="G183" s="114">
        <f>SUM(E184:E$186)/$E$187</f>
        <v>8.9970519126664011E-2</v>
      </c>
      <c r="J183" s="145">
        <f t="shared" si="67"/>
        <v>0.60153808336552306</v>
      </c>
      <c r="K183" s="143">
        <f t="shared" si="68"/>
        <v>0.39846191663447694</v>
      </c>
      <c r="L183" s="143">
        <f>SUM($F$175:F183)</f>
        <v>0.91002948087333579</v>
      </c>
      <c r="M183" s="143">
        <v>1</v>
      </c>
      <c r="N183" s="144">
        <f t="shared" si="69"/>
        <v>0.33899055359367058</v>
      </c>
      <c r="O183" s="145">
        <f t="shared" si="70"/>
        <v>0.66100944640632942</v>
      </c>
      <c r="P183" s="144">
        <f t="shared" si="71"/>
        <v>0.85074768614496843</v>
      </c>
      <c r="Q183" s="144">
        <f t="shared" si="72"/>
        <v>1</v>
      </c>
      <c r="R183" s="146">
        <f t="shared" si="73"/>
        <v>0.94052863695919364</v>
      </c>
    </row>
    <row r="184" spans="2:18" x14ac:dyDescent="0.2">
      <c r="B184" s="118"/>
      <c r="C184" s="119" t="s">
        <v>53</v>
      </c>
      <c r="D184" s="125">
        <v>53</v>
      </c>
      <c r="E184" s="126">
        <v>39.799999999999997</v>
      </c>
      <c r="F184" s="113">
        <f t="shared" si="66"/>
        <v>1.58773850983959E-2</v>
      </c>
      <c r="G184" s="114">
        <f>SUM(E185:E$186)/$E$187</f>
        <v>7.4093134028268115E-2</v>
      </c>
      <c r="J184" s="145">
        <f t="shared" si="67"/>
        <v>0.69034659549812127</v>
      </c>
      <c r="K184" s="143">
        <f t="shared" si="68"/>
        <v>0.30965340450187873</v>
      </c>
      <c r="L184" s="143">
        <f>SUM($F$175:F184)</f>
        <v>0.92590686597173166</v>
      </c>
      <c r="M184" s="143">
        <v>1</v>
      </c>
      <c r="N184" s="144">
        <f t="shared" si="69"/>
        <v>0.25441032908465566</v>
      </c>
      <c r="O184" s="145">
        <f t="shared" si="70"/>
        <v>0.74558967091534434</v>
      </c>
      <c r="P184" s="144">
        <f t="shared" si="71"/>
        <v>0.8215970675145996</v>
      </c>
      <c r="Q184" s="144">
        <f t="shared" si="72"/>
        <v>1</v>
      </c>
      <c r="R184" s="146">
        <f t="shared" si="73"/>
        <v>0.94475692458277694</v>
      </c>
    </row>
    <row r="185" spans="2:18" x14ac:dyDescent="0.2">
      <c r="B185" s="118"/>
      <c r="C185" s="119" t="s">
        <v>54</v>
      </c>
      <c r="D185" s="125">
        <v>38</v>
      </c>
      <c r="E185" s="130">
        <v>24.38</v>
      </c>
      <c r="F185" s="113">
        <f t="shared" si="66"/>
        <v>9.7258956959520616E-3</v>
      </c>
      <c r="G185" s="114">
        <f>SUM(E186:E$186)/$E$187</f>
        <v>6.4367238332316043E-2</v>
      </c>
      <c r="J185" s="145">
        <f t="shared" si="67"/>
        <v>0.73543561470660535</v>
      </c>
      <c r="K185" s="143">
        <f t="shared" si="68"/>
        <v>0.26456438529339465</v>
      </c>
      <c r="L185" s="143">
        <f>SUM($F$175:F185)</f>
        <v>0.93563276166768372</v>
      </c>
      <c r="M185" s="143">
        <v>1</v>
      </c>
      <c r="N185" s="144">
        <f t="shared" si="69"/>
        <v>0.21396979152829629</v>
      </c>
      <c r="O185" s="145">
        <f t="shared" si="70"/>
        <v>0.78603020847170368</v>
      </c>
      <c r="P185" s="144">
        <f t="shared" si="71"/>
        <v>0.80876264313131052</v>
      </c>
      <c r="Q185" s="144">
        <f t="shared" si="72"/>
        <v>0.99999999999999989</v>
      </c>
      <c r="R185" s="146">
        <f t="shared" si="73"/>
        <v>0.94940540623490155</v>
      </c>
    </row>
    <row r="186" spans="2:18" x14ac:dyDescent="0.2">
      <c r="B186" s="127"/>
      <c r="C186" s="128">
        <v>-38</v>
      </c>
      <c r="D186" s="129"/>
      <c r="E186" s="130">
        <f>4.42+156.93</f>
        <v>161.35</v>
      </c>
      <c r="F186" s="113">
        <f t="shared" si="66"/>
        <v>6.4367238332316043E-2</v>
      </c>
      <c r="G186" s="131"/>
    </row>
    <row r="187" spans="2:18" x14ac:dyDescent="0.2">
      <c r="B187" s="132"/>
      <c r="C187" s="133" t="s">
        <v>55</v>
      </c>
      <c r="D187" s="134"/>
      <c r="E187" s="135">
        <f>SUM(E175:E186)</f>
        <v>2506.7100000000005</v>
      </c>
      <c r="F187" s="136">
        <f t="shared" si="66"/>
        <v>1</v>
      </c>
      <c r="G187" s="135"/>
    </row>
    <row r="188" spans="2:18" x14ac:dyDescent="0.2">
      <c r="C188" s="137"/>
      <c r="D188" s="138"/>
      <c r="E188" s="139"/>
      <c r="F188" s="140"/>
      <c r="G188" s="139"/>
    </row>
    <row r="189" spans="2:18" x14ac:dyDescent="0.2">
      <c r="B189" s="162" t="s">
        <v>23</v>
      </c>
      <c r="C189" s="177" t="s">
        <v>24</v>
      </c>
      <c r="D189" s="178"/>
      <c r="E189" s="107" t="s">
        <v>25</v>
      </c>
      <c r="F189" s="108" t="s">
        <v>26</v>
      </c>
      <c r="G189" s="107" t="s">
        <v>27</v>
      </c>
    </row>
    <row r="190" spans="2:18" x14ac:dyDescent="0.2">
      <c r="B190" s="163" t="str">
        <f>+G17</f>
        <v>SC-013 O/S from deck5</v>
      </c>
      <c r="C190" s="110" t="s">
        <v>43</v>
      </c>
      <c r="D190" s="111">
        <v>1180</v>
      </c>
      <c r="E190" s="112">
        <f>84.93+62.14</f>
        <v>147.07</v>
      </c>
      <c r="F190" s="113">
        <f t="shared" ref="F190:F202" si="74">E190/$E$202</f>
        <v>7.8510190790386805E-2</v>
      </c>
      <c r="G190" s="114">
        <f>SUM(E191:E$201)/$E$202</f>
        <v>0.9214898092096131</v>
      </c>
    </row>
    <row r="191" spans="2:18" x14ac:dyDescent="0.2">
      <c r="B191" s="163" t="s">
        <v>44</v>
      </c>
      <c r="C191" s="111" t="s">
        <v>45</v>
      </c>
      <c r="D191" s="111">
        <v>600</v>
      </c>
      <c r="E191" s="112">
        <f>229.2+172.97</f>
        <v>402.16999999999996</v>
      </c>
      <c r="F191" s="113">
        <f t="shared" si="74"/>
        <v>0.21468989889283921</v>
      </c>
      <c r="G191" s="114">
        <f>SUM(E192:E$201)/$E$202</f>
        <v>0.70679991031677392</v>
      </c>
    </row>
    <row r="192" spans="2:18" x14ac:dyDescent="0.2">
      <c r="B192" s="164">
        <f>FORECAST(0.8,D190:D191,G190:G191)</f>
        <v>851.78665738369364</v>
      </c>
      <c r="C192" s="111" t="s">
        <v>46</v>
      </c>
      <c r="D192" s="111">
        <v>425</v>
      </c>
      <c r="E192" s="112">
        <f>236.35+178.03</f>
        <v>414.38</v>
      </c>
      <c r="F192" s="113">
        <f t="shared" si="74"/>
        <v>0.22120794764207852</v>
      </c>
      <c r="G192" s="114">
        <f>SUM(E193:E$201)/$E$202</f>
        <v>0.4855919626746954</v>
      </c>
    </row>
    <row r="193" spans="2:18" x14ac:dyDescent="0.2">
      <c r="B193" s="118"/>
      <c r="C193" s="111" t="s">
        <v>47</v>
      </c>
      <c r="D193" s="111">
        <v>300</v>
      </c>
      <c r="E193" s="112">
        <f>245.81+224.03</f>
        <v>469.84000000000003</v>
      </c>
      <c r="F193" s="113">
        <f t="shared" si="74"/>
        <v>0.25081408880774692</v>
      </c>
      <c r="G193" s="114">
        <f>SUM(E194:E$201)/$E$202</f>
        <v>0.23477787386694857</v>
      </c>
      <c r="H193" s="116"/>
      <c r="J193" s="145">
        <f t="shared" ref="J193:J200" si="75">+J178</f>
        <v>1.8207676370404186E-2</v>
      </c>
      <c r="K193" s="143">
        <f>1-J193</f>
        <v>0.98179232362959579</v>
      </c>
      <c r="L193" s="143">
        <f>SUM($F$190:F193)</f>
        <v>0.76522212613305152</v>
      </c>
      <c r="M193" s="143">
        <v>1</v>
      </c>
      <c r="N193" s="144">
        <f>+(L193-J193)/(L193+M193-1)</f>
        <v>0.97620602469714979</v>
      </c>
      <c r="O193" s="145">
        <f>1-N193</f>
        <v>2.3793975302850212E-2</v>
      </c>
      <c r="P193" s="144">
        <f>+N193*M193/K193</f>
        <v>0.99431010123220975</v>
      </c>
      <c r="Q193" s="144">
        <f>+O193*L193/J193</f>
        <v>1.0000000000000095</v>
      </c>
      <c r="R193" s="146">
        <f>+N193*M193+O193*L193</f>
        <v>0.99441370106755411</v>
      </c>
    </row>
    <row r="194" spans="2:18" x14ac:dyDescent="0.2">
      <c r="B194" s="118"/>
      <c r="C194" s="119" t="s">
        <v>48</v>
      </c>
      <c r="D194" s="120">
        <v>212</v>
      </c>
      <c r="E194" s="121">
        <f>110.83+108.92</f>
        <v>219.75</v>
      </c>
      <c r="F194" s="122">
        <f t="shared" si="74"/>
        <v>0.11730886262451555</v>
      </c>
      <c r="G194" s="123">
        <f>SUM(E195:E$201)/$E$202</f>
        <v>0.11746901124243299</v>
      </c>
      <c r="H194" s="124">
        <f>SUM(F195:F201)*100</f>
        <v>11.746901124243298</v>
      </c>
      <c r="I194" s="116">
        <f>($H$194-H194)/($I$207*(100-H194))*10000</f>
        <v>0</v>
      </c>
      <c r="J194" s="145">
        <f t="shared" si="75"/>
        <v>0.16103346560382065</v>
      </c>
      <c r="K194" s="143">
        <f t="shared" ref="K194:K200" si="76">1-J194</f>
        <v>0.83896653439617941</v>
      </c>
      <c r="L194" s="143">
        <f>SUM($F$190:F194)</f>
        <v>0.88253098875756708</v>
      </c>
      <c r="M194" s="143">
        <v>1</v>
      </c>
      <c r="N194" s="144">
        <f t="shared" ref="N194:N200" si="77">+(L194-J194)/(L194+M194-1)</f>
        <v>0.8175322253210342</v>
      </c>
      <c r="O194" s="145">
        <f t="shared" ref="O194:O200" si="78">1-N194</f>
        <v>0.1824677746789658</v>
      </c>
      <c r="P194" s="144">
        <f t="shared" ref="P194:P200" si="79">+N194*M194/K194</f>
        <v>0.97445153269364682</v>
      </c>
      <c r="Q194" s="144">
        <f t="shared" ref="Q194:Q200" si="80">+O194*L194/J194</f>
        <v>1</v>
      </c>
      <c r="R194" s="146">
        <f t="shared" ref="R194:R200" si="81">+N194*M194+O194*L194</f>
        <v>0.97856569092485479</v>
      </c>
    </row>
    <row r="195" spans="2:18" x14ac:dyDescent="0.2">
      <c r="B195" s="118"/>
      <c r="C195" s="119" t="s">
        <v>49</v>
      </c>
      <c r="D195" s="125">
        <v>180</v>
      </c>
      <c r="E195" s="126">
        <f>11.81+13.61</f>
        <v>25.42</v>
      </c>
      <c r="F195" s="113">
        <f t="shared" si="74"/>
        <v>1.3569926224870014E-2</v>
      </c>
      <c r="G195" s="114">
        <f>SUM(E196:E$201)/$E$202</f>
        <v>0.10389908501756297</v>
      </c>
      <c r="J195" s="145">
        <f t="shared" si="75"/>
        <v>0.22930786248551466</v>
      </c>
      <c r="K195" s="143">
        <f t="shared" si="76"/>
        <v>0.77069213751448529</v>
      </c>
      <c r="L195" s="143">
        <f>SUM($F$190:F195)</f>
        <v>0.89610091498243705</v>
      </c>
      <c r="M195" s="143">
        <v>1</v>
      </c>
      <c r="N195" s="144">
        <f t="shared" si="77"/>
        <v>0.74410486737421866</v>
      </c>
      <c r="O195" s="145">
        <f t="shared" si="78"/>
        <v>0.25589513262578134</v>
      </c>
      <c r="P195" s="144">
        <f t="shared" si="79"/>
        <v>0.96550208721992192</v>
      </c>
      <c r="Q195" s="144">
        <f t="shared" si="80"/>
        <v>1.0000000000000004</v>
      </c>
      <c r="R195" s="146">
        <f t="shared" si="81"/>
        <v>0.97341272985973337</v>
      </c>
    </row>
    <row r="196" spans="2:18" x14ac:dyDescent="0.2">
      <c r="B196" s="118"/>
      <c r="C196" s="119" t="s">
        <v>50</v>
      </c>
      <c r="D196" s="125">
        <v>150</v>
      </c>
      <c r="E196" s="126">
        <f>14.07+15.48</f>
        <v>29.55</v>
      </c>
      <c r="F196" s="113">
        <f t="shared" si="74"/>
        <v>1.5774638864866596E-2</v>
      </c>
      <c r="G196" s="114">
        <f>SUM(E197:E$201)/$E$202</f>
        <v>8.8124446152696365E-2</v>
      </c>
      <c r="J196" s="145">
        <f t="shared" si="75"/>
        <v>0.33077571373389053</v>
      </c>
      <c r="K196" s="143">
        <f t="shared" si="76"/>
        <v>0.66922428626610952</v>
      </c>
      <c r="L196" s="143">
        <f>SUM($F$190:F196)</f>
        <v>0.91187555384730368</v>
      </c>
      <c r="M196" s="143">
        <v>1</v>
      </c>
      <c r="N196" s="144">
        <f t="shared" si="77"/>
        <v>0.63725783377094447</v>
      </c>
      <c r="O196" s="145">
        <f t="shared" si="78"/>
        <v>0.36274216622905553</v>
      </c>
      <c r="P196" s="144">
        <f t="shared" si="79"/>
        <v>0.95223357377909934</v>
      </c>
      <c r="Q196" s="144">
        <f t="shared" si="80"/>
        <v>1.0000000000000004</v>
      </c>
      <c r="R196" s="146">
        <f t="shared" si="81"/>
        <v>0.96803354750483517</v>
      </c>
    </row>
    <row r="197" spans="2:18" x14ac:dyDescent="0.2">
      <c r="B197" s="118"/>
      <c r="C197" s="119" t="s">
        <v>51</v>
      </c>
      <c r="D197" s="125">
        <v>106</v>
      </c>
      <c r="E197" s="126">
        <v>30.29</v>
      </c>
      <c r="F197" s="113">
        <f t="shared" si="74"/>
        <v>1.6169672122396249E-2</v>
      </c>
      <c r="G197" s="114">
        <f>SUM(E198:E$201)/$E$202</f>
        <v>7.1954774030300109E-2</v>
      </c>
      <c r="J197" s="145">
        <f t="shared" si="75"/>
        <v>0.49441654668679991</v>
      </c>
      <c r="K197" s="143">
        <f t="shared" si="76"/>
        <v>0.50558345331320009</v>
      </c>
      <c r="L197" s="143">
        <f>SUM($F$190:F197)</f>
        <v>0.92804522596969996</v>
      </c>
      <c r="M197" s="143">
        <v>1</v>
      </c>
      <c r="N197" s="144">
        <f t="shared" si="77"/>
        <v>0.46724951236057305</v>
      </c>
      <c r="O197" s="145">
        <f t="shared" si="78"/>
        <v>0.5327504876394269</v>
      </c>
      <c r="P197" s="144">
        <f t="shared" si="79"/>
        <v>0.92417880628526061</v>
      </c>
      <c r="Q197" s="144">
        <f t="shared" si="80"/>
        <v>0.99999999999999978</v>
      </c>
      <c r="R197" s="146">
        <f t="shared" si="81"/>
        <v>0.9616660590473729</v>
      </c>
    </row>
    <row r="198" spans="2:18" x14ac:dyDescent="0.2">
      <c r="B198" s="118"/>
      <c r="C198" s="119" t="s">
        <v>52</v>
      </c>
      <c r="D198" s="125">
        <v>75</v>
      </c>
      <c r="E198" s="126">
        <v>19.059999999999999</v>
      </c>
      <c r="F198" s="113">
        <f t="shared" si="74"/>
        <v>1.0174775525020552E-2</v>
      </c>
      <c r="G198" s="114">
        <f>SUM(E199:E$201)/$E$202</f>
        <v>6.1779998505279564E-2</v>
      </c>
      <c r="J198" s="145">
        <f t="shared" si="75"/>
        <v>0.60153808336552306</v>
      </c>
      <c r="K198" s="143">
        <f t="shared" si="76"/>
        <v>0.39846191663447694</v>
      </c>
      <c r="L198" s="143">
        <f>SUM($F$190:F198)</f>
        <v>0.93822000149472051</v>
      </c>
      <c r="M198" s="143">
        <v>1</v>
      </c>
      <c r="N198" s="144">
        <f t="shared" si="77"/>
        <v>0.35885178059816919</v>
      </c>
      <c r="O198" s="145">
        <f t="shared" si="78"/>
        <v>0.64114821940183075</v>
      </c>
      <c r="P198" s="144">
        <f t="shared" si="79"/>
        <v>0.90059241703481663</v>
      </c>
      <c r="Q198" s="144">
        <f t="shared" si="80"/>
        <v>1</v>
      </c>
      <c r="R198" s="146">
        <f t="shared" si="81"/>
        <v>0.9603898639636923</v>
      </c>
    </row>
    <row r="199" spans="2:18" x14ac:dyDescent="0.2">
      <c r="B199" s="118"/>
      <c r="C199" s="119" t="s">
        <v>53</v>
      </c>
      <c r="D199" s="125">
        <v>53</v>
      </c>
      <c r="E199" s="126">
        <v>18.95</v>
      </c>
      <c r="F199" s="113">
        <f t="shared" si="74"/>
        <v>1.0116054365117495E-2</v>
      </c>
      <c r="G199" s="114">
        <f>SUM(E200:E$201)/$E$202</f>
        <v>5.1663944140162073E-2</v>
      </c>
      <c r="J199" s="145">
        <f t="shared" si="75"/>
        <v>0.69034659549812127</v>
      </c>
      <c r="K199" s="143">
        <f t="shared" si="76"/>
        <v>0.30965340450187873</v>
      </c>
      <c r="L199" s="143">
        <f>SUM($F$190:F199)</f>
        <v>0.94833605585983805</v>
      </c>
      <c r="M199" s="143">
        <v>1</v>
      </c>
      <c r="N199" s="144">
        <f t="shared" si="77"/>
        <v>0.2720443441621575</v>
      </c>
      <c r="O199" s="145">
        <f t="shared" si="78"/>
        <v>0.7279556558378425</v>
      </c>
      <c r="P199" s="144">
        <f t="shared" si="79"/>
        <v>0.8785446573719391</v>
      </c>
      <c r="Q199" s="144">
        <f t="shared" si="80"/>
        <v>1</v>
      </c>
      <c r="R199" s="146">
        <f t="shared" si="81"/>
        <v>0.96239093966027878</v>
      </c>
    </row>
    <row r="200" spans="2:18" x14ac:dyDescent="0.2">
      <c r="B200" s="118"/>
      <c r="C200" s="119" t="s">
        <v>54</v>
      </c>
      <c r="D200" s="125">
        <v>38</v>
      </c>
      <c r="E200" s="126">
        <v>10.23</v>
      </c>
      <c r="F200" s="113">
        <f t="shared" si="74"/>
        <v>5.4610678709842734E-3</v>
      </c>
      <c r="G200" s="114">
        <f>SUM(E201:E$201)/$E$202</f>
        <v>4.6202876269177795E-2</v>
      </c>
      <c r="J200" s="145">
        <f t="shared" si="75"/>
        <v>0.73543561470660535</v>
      </c>
      <c r="K200" s="143">
        <f t="shared" si="76"/>
        <v>0.26456438529339465</v>
      </c>
      <c r="L200" s="143">
        <f>SUM($F$190:F200)</f>
        <v>0.95379712373082237</v>
      </c>
      <c r="M200" s="143">
        <v>1</v>
      </c>
      <c r="N200" s="144">
        <f t="shared" si="77"/>
        <v>0.22893915654734387</v>
      </c>
      <c r="O200" s="145">
        <f t="shared" si="78"/>
        <v>0.77106084345265613</v>
      </c>
      <c r="P200" s="144">
        <f t="shared" si="79"/>
        <v>0.86534382280312072</v>
      </c>
      <c r="Q200" s="144">
        <f t="shared" si="80"/>
        <v>1</v>
      </c>
      <c r="R200" s="146">
        <f t="shared" si="81"/>
        <v>0.96437477125394921</v>
      </c>
    </row>
    <row r="201" spans="2:18" x14ac:dyDescent="0.2">
      <c r="B201" s="127"/>
      <c r="C201" s="128">
        <v>-38</v>
      </c>
      <c r="D201" s="129"/>
      <c r="E201" s="172">
        <f>83.1+3.45</f>
        <v>86.55</v>
      </c>
      <c r="F201" s="113">
        <f t="shared" si="74"/>
        <v>4.6202876269177795E-2</v>
      </c>
      <c r="G201" s="131"/>
    </row>
    <row r="202" spans="2:18" x14ac:dyDescent="0.2">
      <c r="B202" s="132"/>
      <c r="C202" s="133" t="s">
        <v>55</v>
      </c>
      <c r="D202" s="134"/>
      <c r="E202" s="135">
        <f>SUM(E190:E201)</f>
        <v>1873.26</v>
      </c>
      <c r="F202" s="136">
        <f t="shared" si="74"/>
        <v>1</v>
      </c>
      <c r="G202" s="135"/>
    </row>
    <row r="207" spans="2:18" x14ac:dyDescent="0.2">
      <c r="I207" s="84">
        <f>I208*100</f>
        <v>48.481243473788652</v>
      </c>
    </row>
    <row r="208" spans="2:18" x14ac:dyDescent="0.2">
      <c r="I208" s="143">
        <f>SUM(F30:F36)</f>
        <v>0.48481243473788649</v>
      </c>
    </row>
    <row r="221" spans="8:8" x14ac:dyDescent="0.2">
      <c r="H221" s="116"/>
    </row>
    <row r="222" spans="8:8" x14ac:dyDescent="0.2">
      <c r="H222" s="166"/>
    </row>
    <row r="238" spans="3:6" x14ac:dyDescent="0.2">
      <c r="C238" s="84">
        <f>69.52-100</f>
        <v>-30.480000000000004</v>
      </c>
      <c r="D238" s="84">
        <f>C238/C239</f>
        <v>0.38080959520239888</v>
      </c>
      <c r="E238" s="84">
        <f>19.96/69.52</f>
        <v>0.28711162255466055</v>
      </c>
      <c r="F238" s="167">
        <f>69.52/19.96</f>
        <v>3.4829659318637272</v>
      </c>
    </row>
    <row r="239" spans="3:6" x14ac:dyDescent="0.2">
      <c r="C239" s="84">
        <f>19.96-100</f>
        <v>-80.039999999999992</v>
      </c>
      <c r="D239" s="84">
        <f>D238*E238</f>
        <v>0.10933486076294421</v>
      </c>
    </row>
    <row r="241" spans="4:5" x14ac:dyDescent="0.2">
      <c r="E241" s="84">
        <f>D238*F238</f>
        <v>1.3263468466167718</v>
      </c>
    </row>
    <row r="242" spans="4:5" x14ac:dyDescent="0.2">
      <c r="D242" s="84">
        <f>D239*100</f>
        <v>10.933486076294422</v>
      </c>
    </row>
  </sheetData>
  <mergeCells count="17">
    <mergeCell ref="C114:D114"/>
    <mergeCell ref="B1:G3"/>
    <mergeCell ref="A5:B5"/>
    <mergeCell ref="A6:B6"/>
    <mergeCell ref="A7:B7"/>
    <mergeCell ref="A8:B8"/>
    <mergeCell ref="C24:D24"/>
    <mergeCell ref="C39:D39"/>
    <mergeCell ref="C54:D54"/>
    <mergeCell ref="C69:D69"/>
    <mergeCell ref="C84:D84"/>
    <mergeCell ref="C99:D99"/>
    <mergeCell ref="C129:D129"/>
    <mergeCell ref="C144:D144"/>
    <mergeCell ref="C159:D159"/>
    <mergeCell ref="C174:D174"/>
    <mergeCell ref="C189:D189"/>
  </mergeCells>
  <pageMargins left="0.70866141732283472" right="0.70866141732283472" top="1.299212598425197" bottom="0.74803149606299213" header="0.31496062992125984" footer="0.31496062992125984"/>
  <pageSetup scale="91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61BC3-0196-4646-89F8-41DAB34B607A}">
  <dimension ref="B1:G27"/>
  <sheetViews>
    <sheetView showGridLines="0" workbookViewId="0">
      <selection activeCell="E23" sqref="E23"/>
    </sheetView>
  </sheetViews>
  <sheetFormatPr defaultRowHeight="15" x14ac:dyDescent="0.25"/>
  <cols>
    <col min="2" max="2" width="32" bestFit="1" customWidth="1"/>
    <col min="3" max="3" width="3.28515625" customWidth="1"/>
    <col min="4" max="5" width="8.42578125" bestFit="1" customWidth="1"/>
  </cols>
  <sheetData>
    <row r="1" spans="2:7" x14ac:dyDescent="0.25">
      <c r="B1" t="s">
        <v>99</v>
      </c>
      <c r="G1" t="s">
        <v>100</v>
      </c>
    </row>
    <row r="3" spans="2:7" x14ac:dyDescent="0.25">
      <c r="B3" t="s">
        <v>2</v>
      </c>
      <c r="C3" t="s">
        <v>101</v>
      </c>
      <c r="D3" s="168">
        <v>41931</v>
      </c>
      <c r="E3" s="168">
        <v>41943</v>
      </c>
    </row>
    <row r="4" spans="2:7" x14ac:dyDescent="0.25">
      <c r="B4" t="s">
        <v>102</v>
      </c>
      <c r="C4" t="s">
        <v>101</v>
      </c>
      <c r="D4" s="169">
        <v>0.40763888888888888</v>
      </c>
      <c r="E4" s="169">
        <v>0.58333333333333337</v>
      </c>
    </row>
    <row r="5" spans="2:7" x14ac:dyDescent="0.25">
      <c r="B5" t="s">
        <v>103</v>
      </c>
      <c r="C5" t="s">
        <v>101</v>
      </c>
      <c r="D5" s="169">
        <v>0.4145833333333333</v>
      </c>
      <c r="E5" s="169">
        <v>0.625</v>
      </c>
    </row>
    <row r="7" spans="2:7" x14ac:dyDescent="0.25">
      <c r="B7" t="s">
        <v>104</v>
      </c>
      <c r="C7" t="s">
        <v>101</v>
      </c>
      <c r="D7" s="170">
        <v>360.73037000000005</v>
      </c>
      <c r="E7" s="170">
        <v>410.75920999999994</v>
      </c>
      <c r="G7" t="s">
        <v>105</v>
      </c>
    </row>
    <row r="8" spans="2:7" x14ac:dyDescent="0.25">
      <c r="B8" t="s">
        <v>106</v>
      </c>
      <c r="C8" t="s">
        <v>101</v>
      </c>
      <c r="D8" s="30">
        <v>3.1</v>
      </c>
      <c r="E8" s="30">
        <v>3.1</v>
      </c>
      <c r="F8" t="s">
        <v>107</v>
      </c>
    </row>
    <row r="9" spans="2:7" x14ac:dyDescent="0.25">
      <c r="B9" t="s">
        <v>108</v>
      </c>
      <c r="C9" t="s">
        <v>101</v>
      </c>
      <c r="D9" s="170">
        <v>746.76432</v>
      </c>
      <c r="E9" s="170">
        <v>893.57595666666646</v>
      </c>
      <c r="F9" t="s">
        <v>109</v>
      </c>
      <c r="G9" t="str">
        <f>G7</f>
        <v>PCS data</v>
      </c>
    </row>
    <row r="10" spans="2:7" x14ac:dyDescent="0.25">
      <c r="B10" t="s">
        <v>110</v>
      </c>
      <c r="C10" t="s">
        <v>101</v>
      </c>
      <c r="D10" s="170">
        <v>751.70766000000003</v>
      </c>
      <c r="E10" s="170">
        <v>894.21137333333343</v>
      </c>
      <c r="F10" t="s">
        <v>109</v>
      </c>
      <c r="G10" t="str">
        <f>G7</f>
        <v>PCS data</v>
      </c>
    </row>
    <row r="11" spans="2:7" x14ac:dyDescent="0.25">
      <c r="B11" t="s">
        <v>111</v>
      </c>
      <c r="C11" t="s">
        <v>101</v>
      </c>
      <c r="D11" s="170">
        <v>1498.47198</v>
      </c>
      <c r="E11" s="170">
        <v>1787.7873299999999</v>
      </c>
      <c r="F11" t="s">
        <v>109</v>
      </c>
      <c r="G11" t="s">
        <v>112</v>
      </c>
    </row>
    <row r="12" spans="2:7" x14ac:dyDescent="0.25">
      <c r="B12" t="s">
        <v>113</v>
      </c>
      <c r="C12" t="s">
        <v>101</v>
      </c>
      <c r="D12" s="30">
        <v>1.4232867</v>
      </c>
      <c r="E12" s="30">
        <v>1.3996020166666667</v>
      </c>
      <c r="F12" t="s">
        <v>107</v>
      </c>
      <c r="G12" t="str">
        <f>G7</f>
        <v>PCS data</v>
      </c>
    </row>
    <row r="13" spans="2:7" x14ac:dyDescent="0.25">
      <c r="C13" t="s">
        <v>101</v>
      </c>
      <c r="D13" s="20">
        <v>0.43902032895979093</v>
      </c>
      <c r="E13" s="20">
        <v>0.42146887775621927</v>
      </c>
      <c r="F13" t="s">
        <v>114</v>
      </c>
      <c r="G13" t="s">
        <v>115</v>
      </c>
    </row>
    <row r="14" spans="2:7" x14ac:dyDescent="0.25">
      <c r="D14" s="30"/>
      <c r="E14" s="30"/>
    </row>
    <row r="15" spans="2:7" x14ac:dyDescent="0.25">
      <c r="B15" t="s">
        <v>116</v>
      </c>
      <c r="C15" t="s">
        <v>101</v>
      </c>
      <c r="D15" s="170">
        <v>2132.755239456666</v>
      </c>
      <c r="E15" s="170">
        <v>2502.1907524391154</v>
      </c>
      <c r="F15" t="s">
        <v>117</v>
      </c>
      <c r="G15" t="str">
        <f>"Calculation: ("&amp;B11&amp;" x "&amp;B12&amp;")"</f>
        <v>Calculation: (Flowrate Screen Feed x Density Screen feed)</v>
      </c>
    </row>
    <row r="16" spans="2:7" x14ac:dyDescent="0.25">
      <c r="B16" t="s">
        <v>118</v>
      </c>
      <c r="C16" t="s">
        <v>101</v>
      </c>
      <c r="D16" s="170">
        <v>936.32290681698316</v>
      </c>
      <c r="E16" s="170">
        <v>1054.595528362504</v>
      </c>
      <c r="F16" t="s">
        <v>117</v>
      </c>
      <c r="G16" t="s">
        <v>115</v>
      </c>
    </row>
    <row r="18" spans="2:7" x14ac:dyDescent="0.25">
      <c r="B18" t="s">
        <v>119</v>
      </c>
      <c r="C18" t="s">
        <v>101</v>
      </c>
      <c r="D18" s="20">
        <v>2.5956309329236213</v>
      </c>
      <c r="E18" s="20">
        <v>2.5674300239366614</v>
      </c>
      <c r="G18" t="s">
        <v>120</v>
      </c>
    </row>
    <row r="20" spans="2:7" x14ac:dyDescent="0.25">
      <c r="B20" t="s">
        <v>121</v>
      </c>
      <c r="C20" t="s">
        <v>101</v>
      </c>
      <c r="D20">
        <v>14</v>
      </c>
      <c r="E20">
        <v>14</v>
      </c>
      <c r="F20" t="s">
        <v>122</v>
      </c>
    </row>
    <row r="21" spans="2:7" x14ac:dyDescent="0.25">
      <c r="C21" t="s">
        <v>101</v>
      </c>
      <c r="D21">
        <v>5</v>
      </c>
      <c r="E21">
        <v>5</v>
      </c>
      <c r="F21" t="s">
        <v>123</v>
      </c>
    </row>
    <row r="23" spans="2:7" x14ac:dyDescent="0.25">
      <c r="B23" t="s">
        <v>124</v>
      </c>
      <c r="C23" t="s">
        <v>101</v>
      </c>
      <c r="D23" s="170">
        <v>152.33965996119042</v>
      </c>
      <c r="E23" s="170">
        <v>178.72791088850823</v>
      </c>
    </row>
    <row r="24" spans="2:7" x14ac:dyDescent="0.25">
      <c r="B24" t="s">
        <v>125</v>
      </c>
      <c r="C24" t="s">
        <v>101</v>
      </c>
      <c r="D24" s="171">
        <v>66.880207629784508</v>
      </c>
      <c r="E24" s="171">
        <v>75.328252025893136</v>
      </c>
    </row>
    <row r="26" spans="2:7" x14ac:dyDescent="0.25">
      <c r="B26" t="s">
        <v>126</v>
      </c>
      <c r="C26" t="s">
        <v>101</v>
      </c>
      <c r="D26" s="171">
        <v>30.467931992238086</v>
      </c>
      <c r="E26" s="171">
        <v>35.74558217770165</v>
      </c>
    </row>
    <row r="27" spans="2:7" x14ac:dyDescent="0.25">
      <c r="B27" t="s">
        <v>127</v>
      </c>
      <c r="C27" t="s">
        <v>101</v>
      </c>
      <c r="D27" s="171">
        <v>13.376041525956902</v>
      </c>
      <c r="E27" s="171">
        <v>15.065650405178626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5</vt:i4>
      </vt:variant>
    </vt:vector>
  </HeadingPairs>
  <TitlesOfParts>
    <vt:vector size="12" baseType="lpstr">
      <vt:lpstr>Sheet1</vt:lpstr>
      <vt:lpstr>13-10-2014</vt:lpstr>
      <vt:lpstr>14-10-2014</vt:lpstr>
      <vt:lpstr>19-10-2014</vt:lpstr>
      <vt:lpstr>31-10-2014 SC14</vt:lpstr>
      <vt:lpstr>31-10-2014 SC13</vt:lpstr>
      <vt:lpstr>Process data 19-and-31oct2014</vt:lpstr>
      <vt:lpstr>'13-10-2014'!Print_Area</vt:lpstr>
      <vt:lpstr>'14-10-2014'!Print_Area</vt:lpstr>
      <vt:lpstr>'19-10-2014'!Print_Area</vt:lpstr>
      <vt:lpstr>'31-10-2014 SC13'!Print_Area</vt:lpstr>
      <vt:lpstr>'31-10-2014 SC14'!Print_Area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Smit</dc:creator>
  <cp:lastModifiedBy>Michael</cp:lastModifiedBy>
  <dcterms:created xsi:type="dcterms:W3CDTF">2020-03-19T03:31:09Z</dcterms:created>
  <dcterms:modified xsi:type="dcterms:W3CDTF">2020-03-19T09:53:34Z</dcterms:modified>
</cp:coreProperties>
</file>