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embeddings/oleObject4.bin" ContentType="application/vnd.openxmlformats-officedocument.oleObject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embeddings/oleObject5.bin" ContentType="application/vnd.openxmlformats-officedocument.oleObject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embeddings/oleObject3.bin" ContentType="application/vnd.openxmlformats-officedocument.oleObject"/>
  <Default Extension="emf" ContentType="image/x-emf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2120" windowHeight="8130" tabRatio="942" firstSheet="22" activeTab="25"/>
  </bookViews>
  <sheets>
    <sheet name="MEMO" sheetId="28" r:id="rId1"/>
    <sheet name="certificate " sheetId="9" r:id="rId2"/>
    <sheet name="Sheet1" sheetId="1" state="hidden" r:id="rId3"/>
    <sheet name="Sheet2" sheetId="2" state="hidden" r:id="rId4"/>
    <sheet name="Sheet3" sheetId="3" state="hidden" r:id="rId5"/>
    <sheet name="SUMMARY" sheetId="6" r:id="rId6"/>
    <sheet name="Grand Summary" sheetId="8" r:id="rId7"/>
    <sheet name="Sewage uPVC Pipe and Manhole" sheetId="45" r:id="rId8"/>
    <sheet name="SA5 Additional Sani Works " sheetId="47" r:id="rId9"/>
    <sheet name="Imhoff" sheetId="16" r:id="rId10"/>
    <sheet name="Dortmund" sheetId="15" r:id="rId11"/>
    <sheet name="Raw water pumping station" sheetId="36" r:id="rId12"/>
    <sheet name="EMERGENCY" sheetId="51" r:id="rId13"/>
    <sheet name="service building" sheetId="19" r:id="rId14"/>
    <sheet name="AEARATION" sheetId="27" r:id="rId15"/>
    <sheet name="bar schedule (2)" sheetId="50" r:id="rId16"/>
    <sheet name="Storm Water Drainage" sheetId="25" r:id="rId17"/>
    <sheet name="DS Retaining Wall " sheetId="32" r:id="rId18"/>
    <sheet name="Walk way &amp; crossing " sheetId="49" r:id="rId19"/>
    <sheet name="Water Supply" sheetId="46" r:id="rId20"/>
    <sheet name="Site Road" sheetId="11" r:id="rId21"/>
    <sheet name="SDB Gates 1 2 3 and 4" sheetId="21" r:id="rId22"/>
    <sheet name="500 m3 Ground Reservior" sheetId="44" r:id="rId23"/>
    <sheet name="Pump House" sheetId="30" r:id="rId24"/>
    <sheet name="50 m3 Elevated Tank" sheetId="43" r:id="rId25"/>
    <sheet name="Variation order No.06" sheetId="52" r:id="rId26"/>
    <sheet name="DS Bar Sche RB SDB g ERP" sheetId="48" r:id="rId27"/>
    <sheet name="SDBs" sheetId="42" r:id="rId28"/>
  </sheets>
  <externalReferences>
    <externalReference r:id="rId29"/>
    <externalReference r:id="rId30"/>
  </externalReferences>
  <definedNames>
    <definedName name="_con25" localSheetId="14">#REF!</definedName>
    <definedName name="_con25" localSheetId="15">#REF!</definedName>
    <definedName name="_con25" localSheetId="10">#REF!</definedName>
    <definedName name="_con25" localSheetId="17">#REF!</definedName>
    <definedName name="_con25" localSheetId="12">#REF!</definedName>
    <definedName name="_con25" localSheetId="9">#REF!</definedName>
    <definedName name="_con25" localSheetId="13">#REF!</definedName>
    <definedName name="_con25" localSheetId="16">#REF!</definedName>
    <definedName name="_dim03670" localSheetId="14">#REF!</definedName>
    <definedName name="_dim03670" localSheetId="15">#REF!</definedName>
    <definedName name="_dim03670" localSheetId="10">#REF!</definedName>
    <definedName name="_dim03670" localSheetId="17">#REF!</definedName>
    <definedName name="_dim03670" localSheetId="12">#REF!</definedName>
    <definedName name="_dim03670" localSheetId="9">#REF!</definedName>
    <definedName name="_dim03670" localSheetId="13">#REF!</definedName>
    <definedName name="_dim03670" localSheetId="16">#REF!</definedName>
    <definedName name="_gip1" localSheetId="14">#REF!</definedName>
    <definedName name="_gip1" localSheetId="15">#REF!</definedName>
    <definedName name="_gip1" localSheetId="10">#REF!</definedName>
    <definedName name="_gip1" localSheetId="17">#REF!</definedName>
    <definedName name="_gip1" localSheetId="12">#REF!</definedName>
    <definedName name="_gip1" localSheetId="9">#REF!</definedName>
    <definedName name="_gip1" localSheetId="13">#REF!</definedName>
    <definedName name="_gip1" localSheetId="16">#REF!</definedName>
    <definedName name="_gip2" localSheetId="14">#REF!</definedName>
    <definedName name="_gip2" localSheetId="15">#REF!</definedName>
    <definedName name="_gip2" localSheetId="10">#REF!</definedName>
    <definedName name="_gip2" localSheetId="17">#REF!</definedName>
    <definedName name="_gip2" localSheetId="12">#REF!</definedName>
    <definedName name="_gip2" localSheetId="9">#REF!</definedName>
    <definedName name="_gip2" localSheetId="13">#REF!</definedName>
    <definedName name="_gip2" localSheetId="16">#REF!</definedName>
    <definedName name="_hcb20" localSheetId="14">#REF!</definedName>
    <definedName name="_hcb20" localSheetId="15">#REF!</definedName>
    <definedName name="_hcb20" localSheetId="10">#REF!</definedName>
    <definedName name="_hcb20" localSheetId="17">#REF!</definedName>
    <definedName name="_hcb20" localSheetId="12">#REF!</definedName>
    <definedName name="_hcb20" localSheetId="9">#REF!</definedName>
    <definedName name="_hcb20" localSheetId="13">#REF!</definedName>
    <definedName name="_hcb20" localSheetId="16">#REF!</definedName>
    <definedName name="_snf300250" localSheetId="14">#REF!</definedName>
    <definedName name="_snf300250" localSheetId="15">#REF!</definedName>
    <definedName name="_snf300250" localSheetId="10">#REF!</definedName>
    <definedName name="_snf300250" localSheetId="17">#REF!</definedName>
    <definedName name="_snf300250" localSheetId="12">#REF!</definedName>
    <definedName name="_snf300250" localSheetId="9">#REF!</definedName>
    <definedName name="_snf300250" localSheetId="13">#REF!</definedName>
    <definedName name="_snf300250" localSheetId="16">#REF!</definedName>
    <definedName name="_tms118" localSheetId="14">#REF!</definedName>
    <definedName name="_tms118" localSheetId="15">#REF!</definedName>
    <definedName name="_tms118" localSheetId="10">#REF!</definedName>
    <definedName name="_tms118" localSheetId="17">#REF!</definedName>
    <definedName name="_tms118" localSheetId="12">#REF!</definedName>
    <definedName name="_tms118" localSheetId="9">#REF!</definedName>
    <definedName name="_tms118" localSheetId="13">#REF!</definedName>
    <definedName name="_tms118" localSheetId="16">#REF!</definedName>
    <definedName name="_tms136" localSheetId="14">#REF!</definedName>
    <definedName name="_tms136" localSheetId="15">#REF!</definedName>
    <definedName name="_tms136" localSheetId="10">#REF!</definedName>
    <definedName name="_tms136" localSheetId="17">#REF!</definedName>
    <definedName name="_tms136" localSheetId="12">#REF!</definedName>
    <definedName name="_tms136" localSheetId="9">#REF!</definedName>
    <definedName name="_tms136" localSheetId="13">#REF!</definedName>
    <definedName name="_tms136" localSheetId="16">#REF!</definedName>
    <definedName name="_tms236" localSheetId="14">#REF!</definedName>
    <definedName name="_tms236" localSheetId="15">#REF!</definedName>
    <definedName name="_tms236" localSheetId="10">#REF!</definedName>
    <definedName name="_tms236" localSheetId="17">#REF!</definedName>
    <definedName name="_tms236" localSheetId="12">#REF!</definedName>
    <definedName name="_tms236" localSheetId="9">#REF!</definedName>
    <definedName name="_tms236" localSheetId="13">#REF!</definedName>
    <definedName name="_tms236" localSheetId="16">#REF!</definedName>
    <definedName name="_tmw065136" localSheetId="14">#REF!</definedName>
    <definedName name="_tmw065136" localSheetId="15">#REF!</definedName>
    <definedName name="_tmw065136" localSheetId="10">#REF!</definedName>
    <definedName name="_tmw065136" localSheetId="17">#REF!</definedName>
    <definedName name="_tmw065136" localSheetId="12">#REF!</definedName>
    <definedName name="_tmw065136" localSheetId="9">#REF!</definedName>
    <definedName name="_tmw065136" localSheetId="13">#REF!</definedName>
    <definedName name="_tmw065136" localSheetId="16">#REF!</definedName>
    <definedName name="abc" localSheetId="14">#REF!</definedName>
    <definedName name="abc" localSheetId="15">#REF!</definedName>
    <definedName name="abc" localSheetId="17">#REF!</definedName>
    <definedName name="abc" localSheetId="12">#REF!</definedName>
    <definedName name="abc" localSheetId="13">#REF!</definedName>
    <definedName name="abc" localSheetId="16">#REF!</definedName>
    <definedName name="abel" localSheetId="14">#REF!</definedName>
    <definedName name="abel" localSheetId="15">#REF!</definedName>
    <definedName name="abel" localSheetId="10">#REF!</definedName>
    <definedName name="abel" localSheetId="17">#REF!</definedName>
    <definedName name="abel" localSheetId="12">#REF!</definedName>
    <definedName name="abel" localSheetId="9">#REF!</definedName>
    <definedName name="abel" localSheetId="13">#REF!</definedName>
    <definedName name="abel" localSheetId="16">#REF!</definedName>
    <definedName name="acb10a1p" localSheetId="14">#REF!</definedName>
    <definedName name="acb10a1p" localSheetId="15">#REF!</definedName>
    <definedName name="acb10a1p" localSheetId="10">#REF!</definedName>
    <definedName name="acb10a1p" localSheetId="17">#REF!</definedName>
    <definedName name="acb10a1p" localSheetId="12">#REF!</definedName>
    <definedName name="acb10a1p" localSheetId="9">#REF!</definedName>
    <definedName name="acb10a1p" localSheetId="13">#REF!</definedName>
    <definedName name="acb10a1p" localSheetId="16">#REF!</definedName>
    <definedName name="acb10a3p" localSheetId="14">#REF!</definedName>
    <definedName name="acb10a3p" localSheetId="15">#REF!</definedName>
    <definedName name="acb10a3p" localSheetId="10">#REF!</definedName>
    <definedName name="acb10a3p" localSheetId="17">#REF!</definedName>
    <definedName name="acb10a3p" localSheetId="12">#REF!</definedName>
    <definedName name="acb10a3p" localSheetId="9">#REF!</definedName>
    <definedName name="acb10a3p" localSheetId="13">#REF!</definedName>
    <definedName name="acb10a3p" localSheetId="16">#REF!</definedName>
    <definedName name="acb16a1p" localSheetId="14">#REF!</definedName>
    <definedName name="acb16a1p" localSheetId="15">#REF!</definedName>
    <definedName name="acb16a1p" localSheetId="10">#REF!</definedName>
    <definedName name="acb16a1p" localSheetId="17">#REF!</definedName>
    <definedName name="acb16a1p" localSheetId="12">#REF!</definedName>
    <definedName name="acb16a1p" localSheetId="9">#REF!</definedName>
    <definedName name="acb16a1p" localSheetId="13">#REF!</definedName>
    <definedName name="acb16a1p" localSheetId="16">#REF!</definedName>
    <definedName name="acb16a3p" localSheetId="14">#REF!</definedName>
    <definedName name="acb16a3p" localSheetId="15">#REF!</definedName>
    <definedName name="acb16a3p" localSheetId="10">#REF!</definedName>
    <definedName name="acb16a3p" localSheetId="17">#REF!</definedName>
    <definedName name="acb16a3p" localSheetId="12">#REF!</definedName>
    <definedName name="acb16a3p" localSheetId="9">#REF!</definedName>
    <definedName name="acb16a3p" localSheetId="13">#REF!</definedName>
    <definedName name="acb16a3p" localSheetId="16">#REF!</definedName>
    <definedName name="acb20a1p" localSheetId="14">#REF!</definedName>
    <definedName name="acb20a1p" localSheetId="15">#REF!</definedName>
    <definedName name="acb20a1p" localSheetId="10">#REF!</definedName>
    <definedName name="acb20a1p" localSheetId="17">#REF!</definedName>
    <definedName name="acb20a1p" localSheetId="12">#REF!</definedName>
    <definedName name="acb20a1p" localSheetId="9">#REF!</definedName>
    <definedName name="acb20a1p" localSheetId="13">#REF!</definedName>
    <definedName name="acb20a1p" localSheetId="16">#REF!</definedName>
    <definedName name="acb20a3p" localSheetId="14">#REF!</definedName>
    <definedName name="acb20a3p" localSheetId="15">#REF!</definedName>
    <definedName name="acb20a3p" localSheetId="10">#REF!</definedName>
    <definedName name="acb20a3p" localSheetId="17">#REF!</definedName>
    <definedName name="acb20a3p" localSheetId="12">#REF!</definedName>
    <definedName name="acb20a3p" localSheetId="9">#REF!</definedName>
    <definedName name="acb20a3p" localSheetId="13">#REF!</definedName>
    <definedName name="acb20a3p" localSheetId="16">#REF!</definedName>
    <definedName name="acb25a1p" localSheetId="14">#REF!</definedName>
    <definedName name="acb25a1p" localSheetId="15">#REF!</definedName>
    <definedName name="acb25a1p" localSheetId="10">#REF!</definedName>
    <definedName name="acb25a1p" localSheetId="17">#REF!</definedName>
    <definedName name="acb25a1p" localSheetId="12">#REF!</definedName>
    <definedName name="acb25a1p" localSheetId="9">#REF!</definedName>
    <definedName name="acb25a1p" localSheetId="13">#REF!</definedName>
    <definedName name="acb25a1p" localSheetId="16">#REF!</definedName>
    <definedName name="acb25a3p" localSheetId="14">#REF!</definedName>
    <definedName name="acb25a3p" localSheetId="15">#REF!</definedName>
    <definedName name="acb25a3p" localSheetId="10">#REF!</definedName>
    <definedName name="acb25a3p" localSheetId="17">#REF!</definedName>
    <definedName name="acb25a3p" localSheetId="12">#REF!</definedName>
    <definedName name="acb25a3p" localSheetId="9">#REF!</definedName>
    <definedName name="acb25a3p" localSheetId="13">#REF!</definedName>
    <definedName name="acb25a3p" localSheetId="16">#REF!</definedName>
    <definedName name="acb2a1p" localSheetId="14">#REF!</definedName>
    <definedName name="acb2a1p" localSheetId="15">#REF!</definedName>
    <definedName name="acb2a1p" localSheetId="10">#REF!</definedName>
    <definedName name="acb2a1p" localSheetId="17">#REF!</definedName>
    <definedName name="acb2a1p" localSheetId="12">#REF!</definedName>
    <definedName name="acb2a1p" localSheetId="9">#REF!</definedName>
    <definedName name="acb2a1p" localSheetId="13">#REF!</definedName>
    <definedName name="acb2a1p" localSheetId="16">#REF!</definedName>
    <definedName name="acb32a1p" localSheetId="14">#REF!</definedName>
    <definedName name="acb32a1p" localSheetId="15">#REF!</definedName>
    <definedName name="acb32a1p" localSheetId="10">#REF!</definedName>
    <definedName name="acb32a1p" localSheetId="17">#REF!</definedName>
    <definedName name="acb32a1p" localSheetId="12">#REF!</definedName>
    <definedName name="acb32a1p" localSheetId="9">#REF!</definedName>
    <definedName name="acb32a1p" localSheetId="13">#REF!</definedName>
    <definedName name="acb32a1p" localSheetId="16">#REF!</definedName>
    <definedName name="acb32a3p" localSheetId="14">#REF!</definedName>
    <definedName name="acb32a3p" localSheetId="15">#REF!</definedName>
    <definedName name="acb32a3p" localSheetId="10">#REF!</definedName>
    <definedName name="acb32a3p" localSheetId="17">#REF!</definedName>
    <definedName name="acb32a3p" localSheetId="12">#REF!</definedName>
    <definedName name="acb32a3p" localSheetId="9">#REF!</definedName>
    <definedName name="acb32a3p" localSheetId="13">#REF!</definedName>
    <definedName name="acb32a3p" localSheetId="16">#REF!</definedName>
    <definedName name="acb40a1p" localSheetId="14">#REF!</definedName>
    <definedName name="acb40a1p" localSheetId="15">#REF!</definedName>
    <definedName name="acb40a1p" localSheetId="10">#REF!</definedName>
    <definedName name="acb40a1p" localSheetId="17">#REF!</definedName>
    <definedName name="acb40a1p" localSheetId="12">#REF!</definedName>
    <definedName name="acb40a1p" localSheetId="9">#REF!</definedName>
    <definedName name="acb40a1p" localSheetId="13">#REF!</definedName>
    <definedName name="acb40a1p" localSheetId="16">#REF!</definedName>
    <definedName name="acb40a3p" localSheetId="14">#REF!</definedName>
    <definedName name="acb40a3p" localSheetId="15">#REF!</definedName>
    <definedName name="acb40a3p" localSheetId="10">#REF!</definedName>
    <definedName name="acb40a3p" localSheetId="17">#REF!</definedName>
    <definedName name="acb40a3p" localSheetId="12">#REF!</definedName>
    <definedName name="acb40a3p" localSheetId="9">#REF!</definedName>
    <definedName name="acb40a3p" localSheetId="13">#REF!</definedName>
    <definedName name="acb40a3p" localSheetId="16">#REF!</definedName>
    <definedName name="acb50a1p" localSheetId="14">#REF!</definedName>
    <definedName name="acb50a1p" localSheetId="15">#REF!</definedName>
    <definedName name="acb50a1p" localSheetId="10">#REF!</definedName>
    <definedName name="acb50a1p" localSheetId="17">#REF!</definedName>
    <definedName name="acb50a1p" localSheetId="12">#REF!</definedName>
    <definedName name="acb50a1p" localSheetId="9">#REF!</definedName>
    <definedName name="acb50a1p" localSheetId="13">#REF!</definedName>
    <definedName name="acb50a1p" localSheetId="16">#REF!</definedName>
    <definedName name="acb50a3p" localSheetId="14">#REF!</definedName>
    <definedName name="acb50a3p" localSheetId="15">#REF!</definedName>
    <definedName name="acb50a3p" localSheetId="10">#REF!</definedName>
    <definedName name="acb50a3p" localSheetId="17">#REF!</definedName>
    <definedName name="acb50a3p" localSheetId="12">#REF!</definedName>
    <definedName name="acb50a3p" localSheetId="9">#REF!</definedName>
    <definedName name="acb50a3p" localSheetId="13">#REF!</definedName>
    <definedName name="acb50a3p" localSheetId="16">#REF!</definedName>
    <definedName name="acb63a1p" localSheetId="14">#REF!</definedName>
    <definedName name="acb63a1p" localSheetId="15">#REF!</definedName>
    <definedName name="acb63a1p" localSheetId="10">#REF!</definedName>
    <definedName name="acb63a1p" localSheetId="17">#REF!</definedName>
    <definedName name="acb63a1p" localSheetId="12">#REF!</definedName>
    <definedName name="acb63a1p" localSheetId="9">#REF!</definedName>
    <definedName name="acb63a1p" localSheetId="13">#REF!</definedName>
    <definedName name="acb63a1p" localSheetId="16">#REF!</definedName>
    <definedName name="acb63a3p" localSheetId="14">#REF!</definedName>
    <definedName name="acb63a3p" localSheetId="15">#REF!</definedName>
    <definedName name="acb63a3p" localSheetId="10">#REF!</definedName>
    <definedName name="acb63a3p" localSheetId="17">#REF!</definedName>
    <definedName name="acb63a3p" localSheetId="12">#REF!</definedName>
    <definedName name="acb63a3p" localSheetId="9">#REF!</definedName>
    <definedName name="acb63a3p" localSheetId="13">#REF!</definedName>
    <definedName name="acb63a3p" localSheetId="16">#REF!</definedName>
    <definedName name="acb6a1p" localSheetId="14">#REF!</definedName>
    <definedName name="acb6a1p" localSheetId="15">#REF!</definedName>
    <definedName name="acb6a1p" localSheetId="10">#REF!</definedName>
    <definedName name="acb6a1p" localSheetId="17">#REF!</definedName>
    <definedName name="acb6a1p" localSheetId="12">#REF!</definedName>
    <definedName name="acb6a1p" localSheetId="9">#REF!</definedName>
    <definedName name="acb6a1p" localSheetId="13">#REF!</definedName>
    <definedName name="acb6a1p" localSheetId="16">#REF!</definedName>
    <definedName name="acb6a3p" localSheetId="14">#REF!</definedName>
    <definedName name="acb6a3p" localSheetId="15">#REF!</definedName>
    <definedName name="acb6a3p" localSheetId="10">#REF!</definedName>
    <definedName name="acb6a3p" localSheetId="17">#REF!</definedName>
    <definedName name="acb6a3p" localSheetId="12">#REF!</definedName>
    <definedName name="acb6a3p" localSheetId="9">#REF!</definedName>
    <definedName name="acb6a3p" localSheetId="13">#REF!</definedName>
    <definedName name="acb6a3p" localSheetId="16">#REF!</definedName>
    <definedName name="airterminal1" localSheetId="14">#REF!</definedName>
    <definedName name="airterminal1" localSheetId="15">#REF!</definedName>
    <definedName name="airterminal1" localSheetId="10">#REF!</definedName>
    <definedName name="airterminal1" localSheetId="17">#REF!</definedName>
    <definedName name="airterminal1" localSheetId="12">#REF!</definedName>
    <definedName name="airterminal1" localSheetId="9">#REF!</definedName>
    <definedName name="airterminal1" localSheetId="13">#REF!</definedName>
    <definedName name="airterminal1" localSheetId="16">#REF!</definedName>
    <definedName name="analyses" localSheetId="14">#REF!</definedName>
    <definedName name="analyses" localSheetId="15">#REF!</definedName>
    <definedName name="analyses" localSheetId="10">#REF!</definedName>
    <definedName name="analyses" localSheetId="17">#REF!</definedName>
    <definedName name="analyses" localSheetId="12">#REF!</definedName>
    <definedName name="analyses" localSheetId="9">#REF!</definedName>
    <definedName name="analyses" localSheetId="13">#REF!</definedName>
    <definedName name="analyses" localSheetId="16">#REF!</definedName>
    <definedName name="bell" localSheetId="14">#REF!</definedName>
    <definedName name="bell" localSheetId="15">#REF!</definedName>
    <definedName name="bell" localSheetId="10">#REF!</definedName>
    <definedName name="bell" localSheetId="17">#REF!</definedName>
    <definedName name="bell" localSheetId="12">#REF!</definedName>
    <definedName name="bell" localSheetId="9">#REF!</definedName>
    <definedName name="bell" localSheetId="13">#REF!</definedName>
    <definedName name="bell" localSheetId="16">#REF!</definedName>
    <definedName name="bellcallpoint" localSheetId="14">#REF!</definedName>
    <definedName name="bellcallpoint" localSheetId="15">#REF!</definedName>
    <definedName name="bellcallpoint" localSheetId="10">#REF!</definedName>
    <definedName name="bellcallpoint" localSheetId="17">#REF!</definedName>
    <definedName name="bellcallpoint" localSheetId="12">#REF!</definedName>
    <definedName name="bellcallpoint" localSheetId="9">#REF!</definedName>
    <definedName name="bellcallpoint" localSheetId="13">#REF!</definedName>
    <definedName name="bellcallpoint" localSheetId="16">#REF!</definedName>
    <definedName name="belltransformer" localSheetId="14">#REF!</definedName>
    <definedName name="belltransformer" localSheetId="15">#REF!</definedName>
    <definedName name="belltransformer" localSheetId="10">#REF!</definedName>
    <definedName name="belltransformer" localSheetId="17">#REF!</definedName>
    <definedName name="belltransformer" localSheetId="12">#REF!</definedName>
    <definedName name="belltransformer" localSheetId="9">#REF!</definedName>
    <definedName name="belltransformer" localSheetId="13">#REF!</definedName>
    <definedName name="belltransformer" localSheetId="16">#REF!</definedName>
    <definedName name="buzzer" localSheetId="14">#REF!</definedName>
    <definedName name="buzzer" localSheetId="15">#REF!</definedName>
    <definedName name="buzzer" localSheetId="10">#REF!</definedName>
    <definedName name="buzzer" localSheetId="17">#REF!</definedName>
    <definedName name="buzzer" localSheetId="12">#REF!</definedName>
    <definedName name="buzzer" localSheetId="9">#REF!</definedName>
    <definedName name="buzzer" localSheetId="13">#REF!</definedName>
    <definedName name="buzzer" localSheetId="16">#REF!</definedName>
    <definedName name="cable2x1.5" localSheetId="14">#REF!</definedName>
    <definedName name="cable2x1.5" localSheetId="15">#REF!</definedName>
    <definedName name="cable2x1.5" localSheetId="10">#REF!</definedName>
    <definedName name="cable2x1.5" localSheetId="17">#REF!</definedName>
    <definedName name="cable2x1.5" localSheetId="12">#REF!</definedName>
    <definedName name="cable2x1.5" localSheetId="9">#REF!</definedName>
    <definedName name="cable2x1.5" localSheetId="13">#REF!</definedName>
    <definedName name="cable2x1.5" localSheetId="16">#REF!</definedName>
    <definedName name="cable2x10" localSheetId="14">#REF!</definedName>
    <definedName name="cable2x10" localSheetId="15">#REF!</definedName>
    <definedName name="cable2x10" localSheetId="10">#REF!</definedName>
    <definedName name="cable2x10" localSheetId="17">#REF!</definedName>
    <definedName name="cable2x10" localSheetId="12">#REF!</definedName>
    <definedName name="cable2x10" localSheetId="9">#REF!</definedName>
    <definedName name="cable2x10" localSheetId="13">#REF!</definedName>
    <definedName name="cable2x10" localSheetId="16">#REF!</definedName>
    <definedName name="cable2x16" localSheetId="14">#REF!</definedName>
    <definedName name="cable2x16" localSheetId="15">#REF!</definedName>
    <definedName name="cable2x16" localSheetId="10">#REF!</definedName>
    <definedName name="cable2x16" localSheetId="17">#REF!</definedName>
    <definedName name="cable2x16" localSheetId="12">#REF!</definedName>
    <definedName name="cable2x16" localSheetId="9">#REF!</definedName>
    <definedName name="cable2x16" localSheetId="13">#REF!</definedName>
    <definedName name="cable2x16" localSheetId="16">#REF!</definedName>
    <definedName name="cable2x2.5" localSheetId="14">#REF!</definedName>
    <definedName name="cable2x2.5" localSheetId="15">#REF!</definedName>
    <definedName name="cable2x2.5" localSheetId="10">#REF!</definedName>
    <definedName name="cable2x2.5" localSheetId="17">#REF!</definedName>
    <definedName name="cable2x2.5" localSheetId="12">#REF!</definedName>
    <definedName name="cable2x2.5" localSheetId="9">#REF!</definedName>
    <definedName name="cable2x2.5" localSheetId="13">#REF!</definedName>
    <definedName name="cable2x2.5" localSheetId="16">#REF!</definedName>
    <definedName name="cable2x4" localSheetId="14">#REF!</definedName>
    <definedName name="cable2x4" localSheetId="15">#REF!</definedName>
    <definedName name="cable2x4" localSheetId="10">#REF!</definedName>
    <definedName name="cable2x4" localSheetId="17">#REF!</definedName>
    <definedName name="cable2x4" localSheetId="12">#REF!</definedName>
    <definedName name="cable2x4" localSheetId="9">#REF!</definedName>
    <definedName name="cable2x4" localSheetId="13">#REF!</definedName>
    <definedName name="cable2x4" localSheetId="16">#REF!</definedName>
    <definedName name="cable2x6" localSheetId="14">#REF!</definedName>
    <definedName name="cable2x6" localSheetId="15">#REF!</definedName>
    <definedName name="cable2x6" localSheetId="10">#REF!</definedName>
    <definedName name="cable2x6" localSheetId="17">#REF!</definedName>
    <definedName name="cable2x6" localSheetId="12">#REF!</definedName>
    <definedName name="cable2x6" localSheetId="9">#REF!</definedName>
    <definedName name="cable2x6" localSheetId="13">#REF!</definedName>
    <definedName name="cable2x6" localSheetId="16">#REF!</definedName>
    <definedName name="cable3x1.5" localSheetId="14">#REF!</definedName>
    <definedName name="cable3x1.5" localSheetId="15">#REF!</definedName>
    <definedName name="cable3x1.5" localSheetId="10">#REF!</definedName>
    <definedName name="cable3x1.5" localSheetId="17">#REF!</definedName>
    <definedName name="cable3x1.5" localSheetId="12">#REF!</definedName>
    <definedName name="cable3x1.5" localSheetId="9">#REF!</definedName>
    <definedName name="cable3x1.5" localSheetId="13">#REF!</definedName>
    <definedName name="cable3x1.5" localSheetId="16">#REF!</definedName>
    <definedName name="cable3x10" localSheetId="14">#REF!</definedName>
    <definedName name="cable3x10" localSheetId="15">#REF!</definedName>
    <definedName name="cable3x10" localSheetId="10">#REF!</definedName>
    <definedName name="cable3x10" localSheetId="17">#REF!</definedName>
    <definedName name="cable3x10" localSheetId="12">#REF!</definedName>
    <definedName name="cable3x10" localSheetId="9">#REF!</definedName>
    <definedName name="cable3x10" localSheetId="13">#REF!</definedName>
    <definedName name="cable3x10" localSheetId="16">#REF!</definedName>
    <definedName name="cable3x12070" localSheetId="14">#REF!</definedName>
    <definedName name="cable3x12070" localSheetId="15">#REF!</definedName>
    <definedName name="cable3x12070" localSheetId="10">#REF!</definedName>
    <definedName name="cable3x12070" localSheetId="17">#REF!</definedName>
    <definedName name="cable3x12070" localSheetId="12">#REF!</definedName>
    <definedName name="cable3x12070" localSheetId="9">#REF!</definedName>
    <definedName name="cable3x12070" localSheetId="13">#REF!</definedName>
    <definedName name="cable3x12070" localSheetId="16">#REF!</definedName>
    <definedName name="cable3x15070" localSheetId="14">#REF!</definedName>
    <definedName name="cable3x15070" localSheetId="15">#REF!</definedName>
    <definedName name="cable3x15070" localSheetId="10">#REF!</definedName>
    <definedName name="cable3x15070" localSheetId="17">#REF!</definedName>
    <definedName name="cable3x15070" localSheetId="12">#REF!</definedName>
    <definedName name="cable3x15070" localSheetId="9">#REF!</definedName>
    <definedName name="cable3x15070" localSheetId="13">#REF!</definedName>
    <definedName name="cable3x15070" localSheetId="16">#REF!</definedName>
    <definedName name="cable3x16" localSheetId="14">#REF!</definedName>
    <definedName name="cable3x16" localSheetId="15">#REF!</definedName>
    <definedName name="cable3x16" localSheetId="10">#REF!</definedName>
    <definedName name="cable3x16" localSheetId="17">#REF!</definedName>
    <definedName name="cable3x16" localSheetId="12">#REF!</definedName>
    <definedName name="cable3x16" localSheetId="9">#REF!</definedName>
    <definedName name="cable3x16" localSheetId="13">#REF!</definedName>
    <definedName name="cable3x16" localSheetId="16">#REF!</definedName>
    <definedName name="cable3x18595" localSheetId="14">#REF!</definedName>
    <definedName name="cable3x18595" localSheetId="15">#REF!</definedName>
    <definedName name="cable3x18595" localSheetId="10">#REF!</definedName>
    <definedName name="cable3x18595" localSheetId="17">#REF!</definedName>
    <definedName name="cable3x18595" localSheetId="12">#REF!</definedName>
    <definedName name="cable3x18595" localSheetId="9">#REF!</definedName>
    <definedName name="cable3x18595" localSheetId="13">#REF!</definedName>
    <definedName name="cable3x18595" localSheetId="16">#REF!</definedName>
    <definedName name="cable3x2.5" localSheetId="14">#REF!</definedName>
    <definedName name="cable3x2.5" localSheetId="15">#REF!</definedName>
    <definedName name="cable3x2.5" localSheetId="10">#REF!</definedName>
    <definedName name="cable3x2.5" localSheetId="17">#REF!</definedName>
    <definedName name="cable3x2.5" localSheetId="12">#REF!</definedName>
    <definedName name="cable3x2.5" localSheetId="9">#REF!</definedName>
    <definedName name="cable3x2.5" localSheetId="13">#REF!</definedName>
    <definedName name="cable3x2.5" localSheetId="16">#REF!</definedName>
    <definedName name="cable3x240120" localSheetId="14">#REF!</definedName>
    <definedName name="cable3x240120" localSheetId="15">#REF!</definedName>
    <definedName name="cable3x240120" localSheetId="10">#REF!</definedName>
    <definedName name="cable3x240120" localSheetId="17">#REF!</definedName>
    <definedName name="cable3x240120" localSheetId="12">#REF!</definedName>
    <definedName name="cable3x240120" localSheetId="9">#REF!</definedName>
    <definedName name="cable3x240120" localSheetId="13">#REF!</definedName>
    <definedName name="cable3x240120" localSheetId="16">#REF!</definedName>
    <definedName name="cable3x2516" localSheetId="14">#REF!</definedName>
    <definedName name="cable3x2516" localSheetId="15">#REF!</definedName>
    <definedName name="cable3x2516" localSheetId="10">#REF!</definedName>
    <definedName name="cable3x2516" localSheetId="17">#REF!</definedName>
    <definedName name="cable3x2516" localSheetId="12">#REF!</definedName>
    <definedName name="cable3x2516" localSheetId="9">#REF!</definedName>
    <definedName name="cable3x2516" localSheetId="13">#REF!</definedName>
    <definedName name="cable3x2516" localSheetId="16">#REF!</definedName>
    <definedName name="cable3x300150" localSheetId="14">#REF!</definedName>
    <definedName name="cable3x300150" localSheetId="15">#REF!</definedName>
    <definedName name="cable3x300150" localSheetId="10">#REF!</definedName>
    <definedName name="cable3x300150" localSheetId="17">#REF!</definedName>
    <definedName name="cable3x300150" localSheetId="12">#REF!</definedName>
    <definedName name="cable3x300150" localSheetId="9">#REF!</definedName>
    <definedName name="cable3x300150" localSheetId="13">#REF!</definedName>
    <definedName name="cable3x300150" localSheetId="16">#REF!</definedName>
    <definedName name="cable3x3516" localSheetId="14">#REF!</definedName>
    <definedName name="cable3x3516" localSheetId="15">#REF!</definedName>
    <definedName name="cable3x3516" localSheetId="10">#REF!</definedName>
    <definedName name="cable3x3516" localSheetId="17">#REF!</definedName>
    <definedName name="cable3x3516" localSheetId="12">#REF!</definedName>
    <definedName name="cable3x3516" localSheetId="9">#REF!</definedName>
    <definedName name="cable3x3516" localSheetId="13">#REF!</definedName>
    <definedName name="cable3x3516" localSheetId="16">#REF!</definedName>
    <definedName name="cable3x4" localSheetId="14">#REF!</definedName>
    <definedName name="cable3x4" localSheetId="15">#REF!</definedName>
    <definedName name="cable3x4" localSheetId="10">#REF!</definedName>
    <definedName name="cable3x4" localSheetId="17">#REF!</definedName>
    <definedName name="cable3x4" localSheetId="12">#REF!</definedName>
    <definedName name="cable3x4" localSheetId="9">#REF!</definedName>
    <definedName name="cable3x4" localSheetId="13">#REF!</definedName>
    <definedName name="cable3x4" localSheetId="16">#REF!</definedName>
    <definedName name="cable3x5025" localSheetId="14">#REF!</definedName>
    <definedName name="cable3x5025" localSheetId="15">#REF!</definedName>
    <definedName name="cable3x5025" localSheetId="10">#REF!</definedName>
    <definedName name="cable3x5025" localSheetId="17">#REF!</definedName>
    <definedName name="cable3x5025" localSheetId="12">#REF!</definedName>
    <definedName name="cable3x5025" localSheetId="9">#REF!</definedName>
    <definedName name="cable3x5025" localSheetId="13">#REF!</definedName>
    <definedName name="cable3x5025" localSheetId="16">#REF!</definedName>
    <definedName name="cable3x6" localSheetId="14">#REF!</definedName>
    <definedName name="cable3x6" localSheetId="15">#REF!</definedName>
    <definedName name="cable3x6" localSheetId="10">#REF!</definedName>
    <definedName name="cable3x6" localSheetId="17">#REF!</definedName>
    <definedName name="cable3x6" localSheetId="12">#REF!</definedName>
    <definedName name="cable3x6" localSheetId="9">#REF!</definedName>
    <definedName name="cable3x6" localSheetId="13">#REF!</definedName>
    <definedName name="cable3x6" localSheetId="16">#REF!</definedName>
    <definedName name="cable3x7035" localSheetId="14">#REF!</definedName>
    <definedName name="cable3x7035" localSheetId="15">#REF!</definedName>
    <definedName name="cable3x7035" localSheetId="10">#REF!</definedName>
    <definedName name="cable3x7035" localSheetId="17">#REF!</definedName>
    <definedName name="cable3x7035" localSheetId="12">#REF!</definedName>
    <definedName name="cable3x7035" localSheetId="9">#REF!</definedName>
    <definedName name="cable3x7035" localSheetId="13">#REF!</definedName>
    <definedName name="cable3x7035" localSheetId="16">#REF!</definedName>
    <definedName name="cable3x9550" localSheetId="14">#REF!</definedName>
    <definedName name="cable3x9550" localSheetId="15">#REF!</definedName>
    <definedName name="cable3x9550" localSheetId="10">#REF!</definedName>
    <definedName name="cable3x9550" localSheetId="17">#REF!</definedName>
    <definedName name="cable3x9550" localSheetId="12">#REF!</definedName>
    <definedName name="cable3x9550" localSheetId="9">#REF!</definedName>
    <definedName name="cable3x9550" localSheetId="13">#REF!</definedName>
    <definedName name="cable3x9550" localSheetId="16">#REF!</definedName>
    <definedName name="cable4x1.5" localSheetId="14">#REF!</definedName>
    <definedName name="cable4x1.5" localSheetId="15">#REF!</definedName>
    <definedName name="cable4x1.5" localSheetId="10">#REF!</definedName>
    <definedName name="cable4x1.5" localSheetId="17">#REF!</definedName>
    <definedName name="cable4x1.5" localSheetId="12">#REF!</definedName>
    <definedName name="cable4x1.5" localSheetId="9">#REF!</definedName>
    <definedName name="cable4x1.5" localSheetId="13">#REF!</definedName>
    <definedName name="cable4x1.5" localSheetId="16">#REF!</definedName>
    <definedName name="cable4x10" localSheetId="14">#REF!</definedName>
    <definedName name="cable4x10" localSheetId="15">#REF!</definedName>
    <definedName name="cable4x10" localSheetId="10">#REF!</definedName>
    <definedName name="cable4x10" localSheetId="17">#REF!</definedName>
    <definedName name="cable4x10" localSheetId="12">#REF!</definedName>
    <definedName name="cable4x10" localSheetId="9">#REF!</definedName>
    <definedName name="cable4x10" localSheetId="13">#REF!</definedName>
    <definedName name="cable4x10" localSheetId="16">#REF!</definedName>
    <definedName name="cable4x16" localSheetId="14">#REF!</definedName>
    <definedName name="cable4x16" localSheetId="15">#REF!</definedName>
    <definedName name="cable4x16" localSheetId="10">#REF!</definedName>
    <definedName name="cable4x16" localSheetId="17">#REF!</definedName>
    <definedName name="cable4x16" localSheetId="12">#REF!</definedName>
    <definedName name="cable4x16" localSheetId="9">#REF!</definedName>
    <definedName name="cable4x16" localSheetId="13">#REF!</definedName>
    <definedName name="cable4x16" localSheetId="16">#REF!</definedName>
    <definedName name="cable4x2.5" localSheetId="14">#REF!</definedName>
    <definedName name="cable4x2.5" localSheetId="15">#REF!</definedName>
    <definedName name="cable4x2.5" localSheetId="10">#REF!</definedName>
    <definedName name="cable4x2.5" localSheetId="17">#REF!</definedName>
    <definedName name="cable4x2.5" localSheetId="12">#REF!</definedName>
    <definedName name="cable4x2.5" localSheetId="9">#REF!</definedName>
    <definedName name="cable4x2.5" localSheetId="13">#REF!</definedName>
    <definedName name="cable4x2.5" localSheetId="16">#REF!</definedName>
    <definedName name="cable4x4" localSheetId="14">#REF!</definedName>
    <definedName name="cable4x4" localSheetId="15">#REF!</definedName>
    <definedName name="cable4x4" localSheetId="10">#REF!</definedName>
    <definedName name="cable4x4" localSheetId="17">#REF!</definedName>
    <definedName name="cable4x4" localSheetId="12">#REF!</definedName>
    <definedName name="cable4x4" localSheetId="9">#REF!</definedName>
    <definedName name="cable4x4" localSheetId="13">#REF!</definedName>
    <definedName name="cable4x4" localSheetId="16">#REF!</definedName>
    <definedName name="cable4x6" localSheetId="14">#REF!</definedName>
    <definedName name="cable4x6" localSheetId="15">#REF!</definedName>
    <definedName name="cable4x6" localSheetId="10">#REF!</definedName>
    <definedName name="cable4x6" localSheetId="17">#REF!</definedName>
    <definedName name="cable4x6" localSheetId="12">#REF!</definedName>
    <definedName name="cable4x6" localSheetId="9">#REF!</definedName>
    <definedName name="cable4x6" localSheetId="13">#REF!</definedName>
    <definedName name="cable4x6" localSheetId="16">#REF!</definedName>
    <definedName name="cabletray200x100" localSheetId="14">#REF!</definedName>
    <definedName name="cabletray200x100" localSheetId="15">#REF!</definedName>
    <definedName name="cabletray200x100" localSheetId="10">#REF!</definedName>
    <definedName name="cabletray200x100" localSheetId="17">#REF!</definedName>
    <definedName name="cabletray200x100" localSheetId="12">#REF!</definedName>
    <definedName name="cabletray200x100" localSheetId="9">#REF!</definedName>
    <definedName name="cabletray200x100" localSheetId="13">#REF!</definedName>
    <definedName name="cabletray200x100" localSheetId="16">#REF!</definedName>
    <definedName name="cabletray400x100" localSheetId="14">#REF!</definedName>
    <definedName name="cabletray400x100" localSheetId="15">#REF!</definedName>
    <definedName name="cabletray400x100" localSheetId="10">#REF!</definedName>
    <definedName name="cabletray400x100" localSheetId="17">#REF!</definedName>
    <definedName name="cabletray400x100" localSheetId="12">#REF!</definedName>
    <definedName name="cabletray400x100" localSheetId="9">#REF!</definedName>
    <definedName name="cabletray400x100" localSheetId="13">#REF!</definedName>
    <definedName name="cabletray400x100" localSheetId="16">#REF!</definedName>
    <definedName name="cabletray500x110" localSheetId="14">#REF!</definedName>
    <definedName name="cabletray500x110" localSheetId="15">#REF!</definedName>
    <definedName name="cabletray500x110" localSheetId="10">#REF!</definedName>
    <definedName name="cabletray500x110" localSheetId="17">#REF!</definedName>
    <definedName name="cabletray500x110" localSheetId="12">#REF!</definedName>
    <definedName name="cabletray500x110" localSheetId="9">#REF!</definedName>
    <definedName name="cabletray500x110" localSheetId="13">#REF!</definedName>
    <definedName name="cabletray500x110" localSheetId="16">#REF!</definedName>
    <definedName name="cabletray500x75" localSheetId="14">#REF!</definedName>
    <definedName name="cabletray500x75" localSheetId="15">#REF!</definedName>
    <definedName name="cabletray500x75" localSheetId="10">#REF!</definedName>
    <definedName name="cabletray500x75" localSheetId="17">#REF!</definedName>
    <definedName name="cabletray500x75" localSheetId="12">#REF!</definedName>
    <definedName name="cabletray500x75" localSheetId="9">#REF!</definedName>
    <definedName name="cabletray500x75" localSheetId="13">#REF!</definedName>
    <definedName name="cabletray500x75" localSheetId="16">#REF!</definedName>
    <definedName name="callpanel12no" localSheetId="14">#REF!</definedName>
    <definedName name="callpanel12no" localSheetId="15">#REF!</definedName>
    <definedName name="callpanel12no" localSheetId="10">#REF!</definedName>
    <definedName name="callpanel12no" localSheetId="17">#REF!</definedName>
    <definedName name="callpanel12no" localSheetId="12">#REF!</definedName>
    <definedName name="callpanel12no" localSheetId="9">#REF!</definedName>
    <definedName name="callpanel12no" localSheetId="13">#REF!</definedName>
    <definedName name="callpanel12no" localSheetId="16">#REF!</definedName>
    <definedName name="callpanel16no" localSheetId="14">#REF!</definedName>
    <definedName name="callpanel16no" localSheetId="15">#REF!</definedName>
    <definedName name="callpanel16no" localSheetId="10">#REF!</definedName>
    <definedName name="callpanel16no" localSheetId="17">#REF!</definedName>
    <definedName name="callpanel16no" localSheetId="12">#REF!</definedName>
    <definedName name="callpanel16no" localSheetId="9">#REF!</definedName>
    <definedName name="callpanel16no" localSheetId="13">#REF!</definedName>
    <definedName name="callpanel16no" localSheetId="16">#REF!</definedName>
    <definedName name="callpanel24no" localSheetId="14">#REF!</definedName>
    <definedName name="callpanel24no" localSheetId="15">#REF!</definedName>
    <definedName name="callpanel24no" localSheetId="10">#REF!</definedName>
    <definedName name="callpanel24no" localSheetId="17">#REF!</definedName>
    <definedName name="callpanel24no" localSheetId="12">#REF!</definedName>
    <definedName name="callpanel24no" localSheetId="9">#REF!</definedName>
    <definedName name="callpanel24no" localSheetId="13">#REF!</definedName>
    <definedName name="callpanel24no" localSheetId="16">#REF!</definedName>
    <definedName name="callpanel8no" localSheetId="14">#REF!</definedName>
    <definedName name="callpanel8no" localSheetId="15">#REF!</definedName>
    <definedName name="callpanel8no" localSheetId="10">#REF!</definedName>
    <definedName name="callpanel8no" localSheetId="17">#REF!</definedName>
    <definedName name="callpanel8no" localSheetId="12">#REF!</definedName>
    <definedName name="callpanel8no" localSheetId="9">#REF!</definedName>
    <definedName name="callpanel8no" localSheetId="13">#REF!</definedName>
    <definedName name="callpanel8no" localSheetId="16">#REF!</definedName>
    <definedName name="ceiling" localSheetId="14">#REF!</definedName>
    <definedName name="ceiling" localSheetId="15">#REF!</definedName>
    <definedName name="ceiling" localSheetId="10">#REF!</definedName>
    <definedName name="ceiling" localSheetId="17">#REF!</definedName>
    <definedName name="ceiling" localSheetId="12">#REF!</definedName>
    <definedName name="ceiling" localSheetId="9">#REF!</definedName>
    <definedName name="ceiling" localSheetId="13">#REF!</definedName>
    <definedName name="ceiling" localSheetId="16">#REF!</definedName>
    <definedName name="ceilingglobe" localSheetId="14">#REF!</definedName>
    <definedName name="ceilingglobe" localSheetId="15">#REF!</definedName>
    <definedName name="ceilingglobe" localSheetId="10">#REF!</definedName>
    <definedName name="ceilingglobe" localSheetId="17">#REF!</definedName>
    <definedName name="ceilingglobe" localSheetId="12">#REF!</definedName>
    <definedName name="ceilingglobe" localSheetId="9">#REF!</definedName>
    <definedName name="ceilingglobe" localSheetId="13">#REF!</definedName>
    <definedName name="ceilingglobe" localSheetId="16">#REF!</definedName>
    <definedName name="cemic" localSheetId="14">#REF!</definedName>
    <definedName name="cemic" localSheetId="15">#REF!</definedName>
    <definedName name="cemic" localSheetId="10">#REF!</definedName>
    <definedName name="cemic" localSheetId="17">#REF!</definedName>
    <definedName name="cemic" localSheetId="12">#REF!</definedName>
    <definedName name="cemic" localSheetId="9">#REF!</definedName>
    <definedName name="cemic" localSheetId="13">#REF!</definedName>
    <definedName name="cemic" localSheetId="16">#REF!</definedName>
    <definedName name="cisheet" localSheetId="14">#REF!</definedName>
    <definedName name="cisheet" localSheetId="15">#REF!</definedName>
    <definedName name="cisheet" localSheetId="10">#REF!</definedName>
    <definedName name="cisheet" localSheetId="17">#REF!</definedName>
    <definedName name="cisheet" localSheetId="12">#REF!</definedName>
    <definedName name="cisheet" localSheetId="9">#REF!</definedName>
    <definedName name="cisheet" localSheetId="13">#REF!</definedName>
    <definedName name="cisheet" localSheetId="16">#REF!</definedName>
    <definedName name="conductor10" localSheetId="14">#REF!</definedName>
    <definedName name="conductor10" localSheetId="15">#REF!</definedName>
    <definedName name="conductor10" localSheetId="10">#REF!</definedName>
    <definedName name="conductor10" localSheetId="17">#REF!</definedName>
    <definedName name="conductor10" localSheetId="12">#REF!</definedName>
    <definedName name="conductor10" localSheetId="9">#REF!</definedName>
    <definedName name="conductor10" localSheetId="13">#REF!</definedName>
    <definedName name="conductor10" localSheetId="16">#REF!</definedName>
    <definedName name="conductor16" localSheetId="14">#REF!</definedName>
    <definedName name="conductor16" localSheetId="15">#REF!</definedName>
    <definedName name="conductor16" localSheetId="10">#REF!</definedName>
    <definedName name="conductor16" localSheetId="17">#REF!</definedName>
    <definedName name="conductor16" localSheetId="12">#REF!</definedName>
    <definedName name="conductor16" localSheetId="9">#REF!</definedName>
    <definedName name="conductor16" localSheetId="13">#REF!</definedName>
    <definedName name="conductor16" localSheetId="16">#REF!</definedName>
    <definedName name="conductor25" localSheetId="14">#REF!</definedName>
    <definedName name="conductor25" localSheetId="15">#REF!</definedName>
    <definedName name="conductor25" localSheetId="10">#REF!</definedName>
    <definedName name="conductor25" localSheetId="17">#REF!</definedName>
    <definedName name="conductor25" localSheetId="12">#REF!</definedName>
    <definedName name="conductor25" localSheetId="9">#REF!</definedName>
    <definedName name="conductor25" localSheetId="13">#REF!</definedName>
    <definedName name="conductor25" localSheetId="16">#REF!</definedName>
    <definedName name="conductor35" localSheetId="14">#REF!</definedName>
    <definedName name="conductor35" localSheetId="15">#REF!</definedName>
    <definedName name="conductor35" localSheetId="10">#REF!</definedName>
    <definedName name="conductor35" localSheetId="17">#REF!</definedName>
    <definedName name="conductor35" localSheetId="12">#REF!</definedName>
    <definedName name="conductor35" localSheetId="9">#REF!</definedName>
    <definedName name="conductor35" localSheetId="13">#REF!</definedName>
    <definedName name="conductor35" localSheetId="16">#REF!</definedName>
    <definedName name="conductor4" localSheetId="14">#REF!</definedName>
    <definedName name="conductor4" localSheetId="15">#REF!</definedName>
    <definedName name="conductor4" localSheetId="10">#REF!</definedName>
    <definedName name="conductor4" localSheetId="17">#REF!</definedName>
    <definedName name="conductor4" localSheetId="12">#REF!</definedName>
    <definedName name="conductor4" localSheetId="9">#REF!</definedName>
    <definedName name="conductor4" localSheetId="13">#REF!</definedName>
    <definedName name="conductor4" localSheetId="16">#REF!</definedName>
    <definedName name="conductor50" localSheetId="14">#REF!</definedName>
    <definedName name="conductor50" localSheetId="15">#REF!</definedName>
    <definedName name="conductor50" localSheetId="10">#REF!</definedName>
    <definedName name="conductor50" localSheetId="17">#REF!</definedName>
    <definedName name="conductor50" localSheetId="12">#REF!</definedName>
    <definedName name="conductor50" localSheetId="9">#REF!</definedName>
    <definedName name="conductor50" localSheetId="13">#REF!</definedName>
    <definedName name="conductor50" localSheetId="16">#REF!</definedName>
    <definedName name="conductor6" localSheetId="14">#REF!</definedName>
    <definedName name="conductor6" localSheetId="15">#REF!</definedName>
    <definedName name="conductor6" localSheetId="10">#REF!</definedName>
    <definedName name="conductor6" localSheetId="17">#REF!</definedName>
    <definedName name="conductor6" localSheetId="12">#REF!</definedName>
    <definedName name="conductor6" localSheetId="9">#REF!</definedName>
    <definedName name="conductor6" localSheetId="13">#REF!</definedName>
    <definedName name="conductor6" localSheetId="16">#REF!</definedName>
    <definedName name="conductor70" localSheetId="14">#REF!</definedName>
    <definedName name="conductor70" localSheetId="15">#REF!</definedName>
    <definedName name="conductor70" localSheetId="10">#REF!</definedName>
    <definedName name="conductor70" localSheetId="17">#REF!</definedName>
    <definedName name="conductor70" localSheetId="12">#REF!</definedName>
    <definedName name="conductor70" localSheetId="9">#REF!</definedName>
    <definedName name="conductor70" localSheetId="13">#REF!</definedName>
    <definedName name="conductor70" localSheetId="16">#REF!</definedName>
    <definedName name="conduit110" localSheetId="14">#REF!</definedName>
    <definedName name="conduit110" localSheetId="15">#REF!</definedName>
    <definedName name="conduit110" localSheetId="10">#REF!</definedName>
    <definedName name="conduit110" localSheetId="17">#REF!</definedName>
    <definedName name="conduit110" localSheetId="12">#REF!</definedName>
    <definedName name="conduit110" localSheetId="9">#REF!</definedName>
    <definedName name="conduit110" localSheetId="13">#REF!</definedName>
    <definedName name="conduit110" localSheetId="16">#REF!</definedName>
    <definedName name="conduit13.5" localSheetId="14">#REF!</definedName>
    <definedName name="conduit13.5" localSheetId="15">#REF!</definedName>
    <definedName name="conduit13.5" localSheetId="10">#REF!</definedName>
    <definedName name="conduit13.5" localSheetId="17">#REF!</definedName>
    <definedName name="conduit13.5" localSheetId="12">#REF!</definedName>
    <definedName name="conduit13.5" localSheetId="9">#REF!</definedName>
    <definedName name="conduit13.5" localSheetId="13">#REF!</definedName>
    <definedName name="conduit13.5" localSheetId="16">#REF!</definedName>
    <definedName name="conduit16" localSheetId="14">#REF!</definedName>
    <definedName name="conduit16" localSheetId="15">#REF!</definedName>
    <definedName name="conduit16" localSheetId="10">#REF!</definedName>
    <definedName name="conduit16" localSheetId="17">#REF!</definedName>
    <definedName name="conduit16" localSheetId="12">#REF!</definedName>
    <definedName name="conduit16" localSheetId="9">#REF!</definedName>
    <definedName name="conduit16" localSheetId="13">#REF!</definedName>
    <definedName name="conduit16" localSheetId="16">#REF!</definedName>
    <definedName name="conduit19" localSheetId="14">#REF!</definedName>
    <definedName name="conduit19" localSheetId="15">#REF!</definedName>
    <definedName name="conduit19" localSheetId="10">#REF!</definedName>
    <definedName name="conduit19" localSheetId="17">#REF!</definedName>
    <definedName name="conduit19" localSheetId="12">#REF!</definedName>
    <definedName name="conduit19" localSheetId="9">#REF!</definedName>
    <definedName name="conduit19" localSheetId="13">#REF!</definedName>
    <definedName name="conduit19" localSheetId="16">#REF!</definedName>
    <definedName name="conduit20" localSheetId="14">#REF!</definedName>
    <definedName name="conduit20" localSheetId="15">#REF!</definedName>
    <definedName name="conduit20" localSheetId="10">#REF!</definedName>
    <definedName name="conduit20" localSheetId="17">#REF!</definedName>
    <definedName name="conduit20" localSheetId="12">#REF!</definedName>
    <definedName name="conduit20" localSheetId="9">#REF!</definedName>
    <definedName name="conduit20" localSheetId="13">#REF!</definedName>
    <definedName name="conduit20" localSheetId="16">#REF!</definedName>
    <definedName name="conduit21" localSheetId="14">#REF!</definedName>
    <definedName name="conduit21" localSheetId="15">#REF!</definedName>
    <definedName name="conduit21" localSheetId="10">#REF!</definedName>
    <definedName name="conduit21" localSheetId="17">#REF!</definedName>
    <definedName name="conduit21" localSheetId="12">#REF!</definedName>
    <definedName name="conduit21" localSheetId="9">#REF!</definedName>
    <definedName name="conduit21" localSheetId="13">#REF!</definedName>
    <definedName name="conduit21" localSheetId="16">#REF!</definedName>
    <definedName name="conduit25" localSheetId="14">#REF!</definedName>
    <definedName name="conduit25" localSheetId="15">#REF!</definedName>
    <definedName name="conduit25" localSheetId="10">#REF!</definedName>
    <definedName name="conduit25" localSheetId="17">#REF!</definedName>
    <definedName name="conduit25" localSheetId="12">#REF!</definedName>
    <definedName name="conduit25" localSheetId="9">#REF!</definedName>
    <definedName name="conduit25" localSheetId="13">#REF!</definedName>
    <definedName name="conduit25" localSheetId="16">#REF!</definedName>
    <definedName name="conduit29" localSheetId="14">#REF!</definedName>
    <definedName name="conduit29" localSheetId="15">#REF!</definedName>
    <definedName name="conduit29" localSheetId="10">#REF!</definedName>
    <definedName name="conduit29" localSheetId="17">#REF!</definedName>
    <definedName name="conduit29" localSheetId="12">#REF!</definedName>
    <definedName name="conduit29" localSheetId="9">#REF!</definedName>
    <definedName name="conduit29" localSheetId="13">#REF!</definedName>
    <definedName name="conduit29" localSheetId="16">#REF!</definedName>
    <definedName name="conduit32" localSheetId="14">#REF!</definedName>
    <definedName name="conduit32" localSheetId="15">#REF!</definedName>
    <definedName name="conduit32" localSheetId="10">#REF!</definedName>
    <definedName name="conduit32" localSheetId="17">#REF!</definedName>
    <definedName name="conduit32" localSheetId="12">#REF!</definedName>
    <definedName name="conduit32" localSheetId="9">#REF!</definedName>
    <definedName name="conduit32" localSheetId="13">#REF!</definedName>
    <definedName name="conduit32" localSheetId="16">#REF!</definedName>
    <definedName name="conduit36" localSheetId="14">#REF!</definedName>
    <definedName name="conduit36" localSheetId="15">#REF!</definedName>
    <definedName name="conduit36" localSheetId="10">#REF!</definedName>
    <definedName name="conduit36" localSheetId="17">#REF!</definedName>
    <definedName name="conduit36" localSheetId="12">#REF!</definedName>
    <definedName name="conduit36" localSheetId="9">#REF!</definedName>
    <definedName name="conduit36" localSheetId="13">#REF!</definedName>
    <definedName name="conduit36" localSheetId="16">#REF!</definedName>
    <definedName name="conduit40" localSheetId="14">#REF!</definedName>
    <definedName name="conduit40" localSheetId="15">#REF!</definedName>
    <definedName name="conduit40" localSheetId="10">#REF!</definedName>
    <definedName name="conduit40" localSheetId="17">#REF!</definedName>
    <definedName name="conduit40" localSheetId="12">#REF!</definedName>
    <definedName name="conduit40" localSheetId="9">#REF!</definedName>
    <definedName name="conduit40" localSheetId="13">#REF!</definedName>
    <definedName name="conduit40" localSheetId="16">#REF!</definedName>
    <definedName name="conduit50" localSheetId="14">#REF!</definedName>
    <definedName name="conduit50" localSheetId="15">#REF!</definedName>
    <definedName name="conduit50" localSheetId="10">#REF!</definedName>
    <definedName name="conduit50" localSheetId="17">#REF!</definedName>
    <definedName name="conduit50" localSheetId="12">#REF!</definedName>
    <definedName name="conduit50" localSheetId="9">#REF!</definedName>
    <definedName name="conduit50" localSheetId="13">#REF!</definedName>
    <definedName name="conduit50" localSheetId="16">#REF!</definedName>
    <definedName name="conduit75" localSheetId="14">#REF!</definedName>
    <definedName name="conduit75" localSheetId="15">#REF!</definedName>
    <definedName name="conduit75" localSheetId="10">#REF!</definedName>
    <definedName name="conduit75" localSheetId="17">#REF!</definedName>
    <definedName name="conduit75" localSheetId="12">#REF!</definedName>
    <definedName name="conduit75" localSheetId="9">#REF!</definedName>
    <definedName name="conduit75" localSheetId="13">#REF!</definedName>
    <definedName name="conduit75" localSheetId="16">#REF!</definedName>
    <definedName name="contactor10a3p" localSheetId="14">#REF!</definedName>
    <definedName name="contactor10a3p" localSheetId="15">#REF!</definedName>
    <definedName name="contactor10a3p" localSheetId="10">#REF!</definedName>
    <definedName name="contactor10a3p" localSheetId="17">#REF!</definedName>
    <definedName name="contactor10a3p" localSheetId="12">#REF!</definedName>
    <definedName name="contactor10a3p" localSheetId="9">#REF!</definedName>
    <definedName name="contactor10a3p" localSheetId="13">#REF!</definedName>
    <definedName name="contactor10a3p" localSheetId="16">#REF!</definedName>
    <definedName name="contactor16a3p" localSheetId="14">#REF!</definedName>
    <definedName name="contactor16a3p" localSheetId="15">#REF!</definedName>
    <definedName name="contactor16a3p" localSheetId="10">#REF!</definedName>
    <definedName name="contactor16a3p" localSheetId="17">#REF!</definedName>
    <definedName name="contactor16a3p" localSheetId="12">#REF!</definedName>
    <definedName name="contactor16a3p" localSheetId="9">#REF!</definedName>
    <definedName name="contactor16a3p" localSheetId="13">#REF!</definedName>
    <definedName name="contactor16a3p" localSheetId="16">#REF!</definedName>
    <definedName name="contactor25a3p" localSheetId="14">#REF!</definedName>
    <definedName name="contactor25a3p" localSheetId="15">#REF!</definedName>
    <definedName name="contactor25a3p" localSheetId="10">#REF!</definedName>
    <definedName name="contactor25a3p" localSheetId="17">#REF!</definedName>
    <definedName name="contactor25a3p" localSheetId="12">#REF!</definedName>
    <definedName name="contactor25a3p" localSheetId="9">#REF!</definedName>
    <definedName name="contactor25a3p" localSheetId="13">#REF!</definedName>
    <definedName name="contactor25a3p" localSheetId="16">#REF!</definedName>
    <definedName name="contactor32a3p" localSheetId="14">#REF!</definedName>
    <definedName name="contactor32a3p" localSheetId="15">#REF!</definedName>
    <definedName name="contactor32a3p" localSheetId="10">#REF!</definedName>
    <definedName name="contactor32a3p" localSheetId="17">#REF!</definedName>
    <definedName name="contactor32a3p" localSheetId="12">#REF!</definedName>
    <definedName name="contactor32a3p" localSheetId="9">#REF!</definedName>
    <definedName name="contactor32a3p" localSheetId="13">#REF!</definedName>
    <definedName name="contactor32a3p" localSheetId="16">#REF!</definedName>
    <definedName name="contactor40a3p" localSheetId="14">#REF!</definedName>
    <definedName name="contactor40a3p" localSheetId="15">#REF!</definedName>
    <definedName name="contactor40a3p" localSheetId="10">#REF!</definedName>
    <definedName name="contactor40a3p" localSheetId="17">#REF!</definedName>
    <definedName name="contactor40a3p" localSheetId="12">#REF!</definedName>
    <definedName name="contactor40a3p" localSheetId="9">#REF!</definedName>
    <definedName name="contactor40a3p" localSheetId="13">#REF!</definedName>
    <definedName name="contactor40a3p" localSheetId="16">#REF!</definedName>
    <definedName name="contactor60a3p" localSheetId="14">#REF!</definedName>
    <definedName name="contactor60a3p" localSheetId="15">#REF!</definedName>
    <definedName name="contactor60a3p" localSheetId="10">#REF!</definedName>
    <definedName name="contactor60a3p" localSheetId="17">#REF!</definedName>
    <definedName name="contactor60a3p" localSheetId="12">#REF!</definedName>
    <definedName name="contactor60a3p" localSheetId="9">#REF!</definedName>
    <definedName name="contactor60a3p" localSheetId="13">#REF!</definedName>
    <definedName name="contactor60a3p" localSheetId="16">#REF!</definedName>
    <definedName name="contactor6a3p" localSheetId="14">#REF!</definedName>
    <definedName name="contactor6a3p" localSheetId="15">#REF!</definedName>
    <definedName name="contactor6a3p" localSheetId="10">#REF!</definedName>
    <definedName name="contactor6a3p" localSheetId="17">#REF!</definedName>
    <definedName name="contactor6a3p" localSheetId="12">#REF!</definedName>
    <definedName name="contactor6a3p" localSheetId="9">#REF!</definedName>
    <definedName name="contactor6a3p" localSheetId="13">#REF!</definedName>
    <definedName name="contactor6a3p" localSheetId="16">#REF!</definedName>
    <definedName name="contactor90a3p" localSheetId="14">#REF!</definedName>
    <definedName name="contactor90a3p" localSheetId="15">#REF!</definedName>
    <definedName name="contactor90a3p" localSheetId="10">#REF!</definedName>
    <definedName name="contactor90a3p" localSheetId="17">#REF!</definedName>
    <definedName name="contactor90a3p" localSheetId="12">#REF!</definedName>
    <definedName name="contactor90a3p" localSheetId="9">#REF!</definedName>
    <definedName name="contactor90a3p" localSheetId="13">#REF!</definedName>
    <definedName name="contactor90a3p" localSheetId="16">#REF!</definedName>
    <definedName name="coppertape25x3" localSheetId="14">#REF!</definedName>
    <definedName name="coppertape25x3" localSheetId="15">#REF!</definedName>
    <definedName name="coppertape25x3" localSheetId="10">#REF!</definedName>
    <definedName name="coppertape25x3" localSheetId="17">#REF!</definedName>
    <definedName name="coppertape25x3" localSheetId="12">#REF!</definedName>
    <definedName name="coppertape25x3" localSheetId="9">#REF!</definedName>
    <definedName name="coppertape25x3" localSheetId="13">#REF!</definedName>
    <definedName name="coppertape25x3" localSheetId="16">#REF!</definedName>
    <definedName name="DALI_8BUTTON" localSheetId="14">#REF!</definedName>
    <definedName name="DALI_8BUTTON" localSheetId="15">#REF!</definedName>
    <definedName name="DALI_8BUTTON" localSheetId="10">#REF!</definedName>
    <definedName name="DALI_8BUTTON" localSheetId="17">#REF!</definedName>
    <definedName name="DALI_8BUTTON" localSheetId="12">#REF!</definedName>
    <definedName name="DALI_8BUTTON" localSheetId="9">#REF!</definedName>
    <definedName name="DALI_8BUTTON" localSheetId="13">#REF!</definedName>
    <definedName name="DALI_8BUTTON" localSheetId="16">#REF!</definedName>
    <definedName name="DALI_DIMMER" localSheetId="14">#REF!</definedName>
    <definedName name="DALI_DIMMER" localSheetId="15">#REF!</definedName>
    <definedName name="DALI_DIMMER" localSheetId="10">#REF!</definedName>
    <definedName name="DALI_DIMMER" localSheetId="17">#REF!</definedName>
    <definedName name="DALI_DIMMER" localSheetId="12">#REF!</definedName>
    <definedName name="DALI_DIMMER" localSheetId="9">#REF!</definedName>
    <definedName name="DALI_DIMMER" localSheetId="13">#REF!</definedName>
    <definedName name="DALI_DIMMER" localSheetId="16">#REF!</definedName>
    <definedName name="DALI_INFRARED_SENSOR" localSheetId="14">#REF!</definedName>
    <definedName name="DALI_INFRARED_SENSOR" localSheetId="15">#REF!</definedName>
    <definedName name="DALI_INFRARED_SENSOR" localSheetId="10">#REF!</definedName>
    <definedName name="DALI_INFRARED_SENSOR" localSheetId="17">#REF!</definedName>
    <definedName name="DALI_INFRARED_SENSOR" localSheetId="12">#REF!</definedName>
    <definedName name="DALI_INFRARED_SENSOR" localSheetId="9">#REF!</definedName>
    <definedName name="DALI_INFRARED_SENSOR" localSheetId="13">#REF!</definedName>
    <definedName name="DALI_INFRARED_SENSOR" localSheetId="16">#REF!</definedName>
    <definedName name="dali_infraredsensor" localSheetId="14">#REF!</definedName>
    <definedName name="dali_infraredsensor" localSheetId="15">#REF!</definedName>
    <definedName name="dali_infraredsensor" localSheetId="10">#REF!</definedName>
    <definedName name="dali_infraredsensor" localSheetId="17">#REF!</definedName>
    <definedName name="dali_infraredsensor" localSheetId="12">#REF!</definedName>
    <definedName name="dali_infraredsensor" localSheetId="9">#REF!</definedName>
    <definedName name="dali_infraredsensor" localSheetId="13">#REF!</definedName>
    <definedName name="dali_infraredsensor" localSheetId="16">#REF!</definedName>
    <definedName name="DALI_MULTISENSOR" localSheetId="14">#REF!</definedName>
    <definedName name="DALI_MULTISENSOR" localSheetId="15">#REF!</definedName>
    <definedName name="DALI_MULTISENSOR" localSheetId="10">#REF!</definedName>
    <definedName name="DALI_MULTISENSOR" localSheetId="17">#REF!</definedName>
    <definedName name="DALI_MULTISENSOR" localSheetId="12">#REF!</definedName>
    <definedName name="DALI_MULTISENSOR" localSheetId="9">#REF!</definedName>
    <definedName name="DALI_MULTISENSOR" localSheetId="13">#REF!</definedName>
    <definedName name="DALI_MULTISENSOR" localSheetId="16">#REF!</definedName>
    <definedName name="DALI_POWERSUPPLY" localSheetId="14">#REF!</definedName>
    <definedName name="DALI_POWERSUPPLY" localSheetId="15">#REF!</definedName>
    <definedName name="DALI_POWERSUPPLY" localSheetId="10">#REF!</definedName>
    <definedName name="DALI_POWERSUPPLY" localSheetId="17">#REF!</definedName>
    <definedName name="DALI_POWERSUPPLY" localSheetId="12">#REF!</definedName>
    <definedName name="DALI_POWERSUPPLY" localSheetId="9">#REF!</definedName>
    <definedName name="DALI_POWERSUPPLY" localSheetId="13">#REF!</definedName>
    <definedName name="DALI_POWERSUPPLY" localSheetId="16">#REF!</definedName>
    <definedName name="DALI_PROGRAM" localSheetId="14">#REF!</definedName>
    <definedName name="DALI_PROGRAM" localSheetId="15">#REF!</definedName>
    <definedName name="DALI_PROGRAM" localSheetId="10">#REF!</definedName>
    <definedName name="DALI_PROGRAM" localSheetId="17">#REF!</definedName>
    <definedName name="DALI_PROGRAM" localSheetId="12">#REF!</definedName>
    <definedName name="DALI_PROGRAM" localSheetId="9">#REF!</definedName>
    <definedName name="DALI_PROGRAM" localSheetId="13">#REF!</definedName>
    <definedName name="DALI_PROGRAM" localSheetId="16">#REF!</definedName>
    <definedName name="DALI_RELAY" localSheetId="14">#REF!</definedName>
    <definedName name="DALI_RELAY" localSheetId="15">#REF!</definedName>
    <definedName name="DALI_RELAY" localSheetId="10">#REF!</definedName>
    <definedName name="DALI_RELAY" localSheetId="17">#REF!</definedName>
    <definedName name="DALI_RELAY" localSheetId="12">#REF!</definedName>
    <definedName name="DALI_RELAY" localSheetId="9">#REF!</definedName>
    <definedName name="DALI_RELAY" localSheetId="13">#REF!</definedName>
    <definedName name="DALI_RELAY" localSheetId="16">#REF!</definedName>
    <definedName name="dali_remote" localSheetId="14">#REF!</definedName>
    <definedName name="dali_remote" localSheetId="15">#REF!</definedName>
    <definedName name="dali_remote" localSheetId="10">#REF!</definedName>
    <definedName name="dali_remote" localSheetId="17">#REF!</definedName>
    <definedName name="dali_remote" localSheetId="12">#REF!</definedName>
    <definedName name="dali_remote" localSheetId="9">#REF!</definedName>
    <definedName name="dali_remote" localSheetId="13">#REF!</definedName>
    <definedName name="dali_remote" localSheetId="16">#REF!</definedName>
    <definedName name="DALI_SOFTWARE" localSheetId="14">#REF!</definedName>
    <definedName name="DALI_SOFTWARE" localSheetId="15">#REF!</definedName>
    <definedName name="DALI_SOFTWARE" localSheetId="10">#REF!</definedName>
    <definedName name="DALI_SOFTWARE" localSheetId="17">#REF!</definedName>
    <definedName name="DALI_SOFTWARE" localSheetId="12">#REF!</definedName>
    <definedName name="DALI_SOFTWARE" localSheetId="9">#REF!</definedName>
    <definedName name="DALI_SOFTWARE" localSheetId="13">#REF!</definedName>
    <definedName name="DALI_SOFTWARE" localSheetId="16">#REF!</definedName>
    <definedName name="data" localSheetId="14">#REF!</definedName>
    <definedName name="data" localSheetId="15">#REF!</definedName>
    <definedName name="data" localSheetId="10">#REF!</definedName>
    <definedName name="data" localSheetId="17">#REF!</definedName>
    <definedName name="data" localSheetId="12">#REF!</definedName>
    <definedName name="data" localSheetId="9">#REF!</definedName>
    <definedName name="data" localSheetId="13">#REF!</definedName>
    <definedName name="data" localSheetId="16">#REF!</definedName>
    <definedName name="data_telecom" localSheetId="14">#REF!</definedName>
    <definedName name="data_telecom" localSheetId="15">#REF!</definedName>
    <definedName name="data_telecom" localSheetId="10">#REF!</definedName>
    <definedName name="data_telecom" localSheetId="17">#REF!</definedName>
    <definedName name="data_telecom" localSheetId="12">#REF!</definedName>
    <definedName name="data_telecom" localSheetId="9">#REF!</definedName>
    <definedName name="data_telecom" localSheetId="13">#REF!</definedName>
    <definedName name="data_telecom" localSheetId="16">#REF!</definedName>
    <definedName name="dilla1" localSheetId="14">#REF!</definedName>
    <definedName name="dilla1" localSheetId="15">#REF!</definedName>
    <definedName name="dilla1" localSheetId="10">#REF!</definedName>
    <definedName name="dilla1" localSheetId="17">#REF!</definedName>
    <definedName name="dilla1" localSheetId="12">#REF!</definedName>
    <definedName name="dilla1" localSheetId="9">#REF!</definedName>
    <definedName name="dilla1" localSheetId="13">#REF!</definedName>
    <definedName name="dilla1" localSheetId="16">#REF!</definedName>
    <definedName name="dimmerswitch1200w" localSheetId="14">#REF!</definedName>
    <definedName name="dimmerswitch1200w" localSheetId="15">#REF!</definedName>
    <definedName name="dimmerswitch1200w" localSheetId="10">#REF!</definedName>
    <definedName name="dimmerswitch1200w" localSheetId="17">#REF!</definedName>
    <definedName name="dimmerswitch1200w" localSheetId="12">#REF!</definedName>
    <definedName name="dimmerswitch1200w" localSheetId="9">#REF!</definedName>
    <definedName name="dimmerswitch1200w" localSheetId="13">#REF!</definedName>
    <definedName name="dimmerswitch1200w" localSheetId="16">#REF!</definedName>
    <definedName name="dimmerswitch2000w" localSheetId="14">#REF!</definedName>
    <definedName name="dimmerswitch2000w" localSheetId="15">#REF!</definedName>
    <definedName name="dimmerswitch2000w" localSheetId="10">#REF!</definedName>
    <definedName name="dimmerswitch2000w" localSheetId="17">#REF!</definedName>
    <definedName name="dimmerswitch2000w" localSheetId="12">#REF!</definedName>
    <definedName name="dimmerswitch2000w" localSheetId="9">#REF!</definedName>
    <definedName name="dimmerswitch2000w" localSheetId="13">#REF!</definedName>
    <definedName name="dimmerswitch2000w" localSheetId="16">#REF!</definedName>
    <definedName name="dimmerswitch300w" localSheetId="14">#REF!</definedName>
    <definedName name="dimmerswitch300w" localSheetId="15">#REF!</definedName>
    <definedName name="dimmerswitch300w" localSheetId="10">#REF!</definedName>
    <definedName name="dimmerswitch300w" localSheetId="17">#REF!</definedName>
    <definedName name="dimmerswitch300w" localSheetId="12">#REF!</definedName>
    <definedName name="dimmerswitch300w" localSheetId="9">#REF!</definedName>
    <definedName name="dimmerswitch300w" localSheetId="13">#REF!</definedName>
    <definedName name="dimmerswitch300w" localSheetId="16">#REF!</definedName>
    <definedName name="doorswitchpoint" localSheetId="14">#REF!</definedName>
    <definedName name="doorswitchpoint" localSheetId="15">#REF!</definedName>
    <definedName name="doorswitchpoint" localSheetId="10">#REF!</definedName>
    <definedName name="doorswitchpoint" localSheetId="17">#REF!</definedName>
    <definedName name="doorswitchpoint" localSheetId="12">#REF!</definedName>
    <definedName name="doorswitchpoint" localSheetId="9">#REF!</definedName>
    <definedName name="doorswitchpoint" localSheetId="13">#REF!</definedName>
    <definedName name="doorswitchpoint" localSheetId="16">#REF!</definedName>
    <definedName name="doubleswitch" localSheetId="14">#REF!</definedName>
    <definedName name="doubleswitch" localSheetId="15">#REF!</definedName>
    <definedName name="doubleswitch" localSheetId="10">#REF!</definedName>
    <definedName name="doubleswitch" localSheetId="17">#REF!</definedName>
    <definedName name="doubleswitch" localSheetId="12">#REF!</definedName>
    <definedName name="doubleswitch" localSheetId="9">#REF!</definedName>
    <definedName name="doubleswitch" localSheetId="13">#REF!</definedName>
    <definedName name="doubleswitch" localSheetId="16">#REF!</definedName>
    <definedName name="doubletwowayswitch" localSheetId="14">#REF!</definedName>
    <definedName name="doubletwowayswitch" localSheetId="15">#REF!</definedName>
    <definedName name="doubletwowayswitch" localSheetId="10">#REF!</definedName>
    <definedName name="doubletwowayswitch" localSheetId="17">#REF!</definedName>
    <definedName name="doubletwowayswitch" localSheetId="12">#REF!</definedName>
    <definedName name="doubletwowayswitch" localSheetId="9">#REF!</definedName>
    <definedName name="doubletwowayswitch" localSheetId="13">#REF!</definedName>
    <definedName name="doubletwowayswitch" localSheetId="16">#REF!</definedName>
    <definedName name="earthrod1200x16" localSheetId="14">#REF!</definedName>
    <definedName name="earthrod1200x16" localSheetId="15">#REF!</definedName>
    <definedName name="earthrod1200x16" localSheetId="10">#REF!</definedName>
    <definedName name="earthrod1200x16" localSheetId="17">#REF!</definedName>
    <definedName name="earthrod1200x16" localSheetId="12">#REF!</definedName>
    <definedName name="earthrod1200x16" localSheetId="9">#REF!</definedName>
    <definedName name="earthrod1200x16" localSheetId="13">#REF!</definedName>
    <definedName name="earthrod1200x16" localSheetId="16">#REF!</definedName>
    <definedName name="earthrod2400x16" localSheetId="14">#REF!</definedName>
    <definedName name="earthrod2400x16" localSheetId="15">#REF!</definedName>
    <definedName name="earthrod2400x16" localSheetId="10">#REF!</definedName>
    <definedName name="earthrod2400x16" localSheetId="17">#REF!</definedName>
    <definedName name="earthrod2400x16" localSheetId="12">#REF!</definedName>
    <definedName name="earthrod2400x16" localSheetId="9">#REF!</definedName>
    <definedName name="earthrod2400x16" localSheetId="13">#REF!</definedName>
    <definedName name="earthrod2400x16" localSheetId="16">#REF!</definedName>
    <definedName name="ficotp" localSheetId="14">#REF!</definedName>
    <definedName name="ficotp" localSheetId="15">#REF!</definedName>
    <definedName name="ficotp" localSheetId="10">#REF!</definedName>
    <definedName name="ficotp" localSheetId="17">#REF!</definedName>
    <definedName name="ficotp" localSheetId="12">#REF!</definedName>
    <definedName name="ficotp" localSheetId="9">#REF!</definedName>
    <definedName name="ficotp" localSheetId="13">#REF!</definedName>
    <definedName name="ficotp" localSheetId="16">#REF!</definedName>
    <definedName name="firealarmcontrolpanel" localSheetId="14">#REF!</definedName>
    <definedName name="firealarmcontrolpanel" localSheetId="15">#REF!</definedName>
    <definedName name="firealarmcontrolpanel" localSheetId="10">#REF!</definedName>
    <definedName name="firealarmcontrolpanel" localSheetId="17">#REF!</definedName>
    <definedName name="firealarmcontrolpanel" localSheetId="12">#REF!</definedName>
    <definedName name="firealarmcontrolpanel" localSheetId="9">#REF!</definedName>
    <definedName name="firealarmcontrolpanel" localSheetId="13">#REF!</definedName>
    <definedName name="firealarmcontrolpanel" localSheetId="16">#REF!</definedName>
    <definedName name="floatswitch" localSheetId="14">#REF!</definedName>
    <definedName name="floatswitch" localSheetId="15">#REF!</definedName>
    <definedName name="floatswitch" localSheetId="10">#REF!</definedName>
    <definedName name="floatswitch" localSheetId="17">#REF!</definedName>
    <definedName name="floatswitch" localSheetId="12">#REF!</definedName>
    <definedName name="floatswitch" localSheetId="9">#REF!</definedName>
    <definedName name="floatswitch" localSheetId="13">#REF!</definedName>
    <definedName name="floatswitch" localSheetId="16">#REF!</definedName>
    <definedName name="floorbox" localSheetId="14">#REF!</definedName>
    <definedName name="floorbox" localSheetId="15">#REF!</definedName>
    <definedName name="floorbox" localSheetId="10">#REF!</definedName>
    <definedName name="floorbox" localSheetId="17">#REF!</definedName>
    <definedName name="floorbox" localSheetId="12">#REF!</definedName>
    <definedName name="floorbox" localSheetId="9">#REF!</definedName>
    <definedName name="floorbox" localSheetId="13">#REF!</definedName>
    <definedName name="floorbox" localSheetId="16">#REF!</definedName>
    <definedName name="flortil" localSheetId="14">#REF!</definedName>
    <definedName name="flortil" localSheetId="15">#REF!</definedName>
    <definedName name="flortil" localSheetId="10">#REF!</definedName>
    <definedName name="flortil" localSheetId="17">#REF!</definedName>
    <definedName name="flortil" localSheetId="12">#REF!</definedName>
    <definedName name="flortil" localSheetId="9">#REF!</definedName>
    <definedName name="flortil" localSheetId="13">#REF!</definedName>
    <definedName name="flortil" localSheetId="16">#REF!</definedName>
    <definedName name="flushpanel12acb" localSheetId="14">#REF!</definedName>
    <definedName name="flushpanel12acb" localSheetId="15">#REF!</definedName>
    <definedName name="flushpanel12acb" localSheetId="10">#REF!</definedName>
    <definedName name="flushpanel12acb" localSheetId="17">#REF!</definedName>
    <definedName name="flushpanel12acb" localSheetId="12">#REF!</definedName>
    <definedName name="flushpanel12acb" localSheetId="9">#REF!</definedName>
    <definedName name="flushpanel12acb" localSheetId="13">#REF!</definedName>
    <definedName name="flushpanel12acb" localSheetId="16">#REF!</definedName>
    <definedName name="flushpanel15acb" localSheetId="14">#REF!</definedName>
    <definedName name="flushpanel15acb" localSheetId="15">#REF!</definedName>
    <definedName name="flushpanel15acb" localSheetId="10">#REF!</definedName>
    <definedName name="flushpanel15acb" localSheetId="17">#REF!</definedName>
    <definedName name="flushpanel15acb" localSheetId="12">#REF!</definedName>
    <definedName name="flushpanel15acb" localSheetId="9">#REF!</definedName>
    <definedName name="flushpanel15acb" localSheetId="13">#REF!</definedName>
    <definedName name="flushpanel15acb" localSheetId="16">#REF!</definedName>
    <definedName name="flushpanel24acb" localSheetId="14">#REF!</definedName>
    <definedName name="flushpanel24acb" localSheetId="15">#REF!</definedName>
    <definedName name="flushpanel24acb" localSheetId="10">#REF!</definedName>
    <definedName name="flushpanel24acb" localSheetId="17">#REF!</definedName>
    <definedName name="flushpanel24acb" localSheetId="12">#REF!</definedName>
    <definedName name="flushpanel24acb" localSheetId="9">#REF!</definedName>
    <definedName name="flushpanel24acb" localSheetId="13">#REF!</definedName>
    <definedName name="flushpanel24acb" localSheetId="16">#REF!</definedName>
    <definedName name="flushpanel36acb" localSheetId="14">#REF!</definedName>
    <definedName name="flushpanel36acb" localSheetId="15">#REF!</definedName>
    <definedName name="flushpanel36acb" localSheetId="10">#REF!</definedName>
    <definedName name="flushpanel36acb" localSheetId="17">#REF!</definedName>
    <definedName name="flushpanel36acb" localSheetId="12">#REF!</definedName>
    <definedName name="flushpanel36acb" localSheetId="9">#REF!</definedName>
    <definedName name="flushpanel36acb" localSheetId="13">#REF!</definedName>
    <definedName name="flushpanel36acb" localSheetId="16">#REF!</definedName>
    <definedName name="flushpanel48acb" localSheetId="14">#REF!</definedName>
    <definedName name="flushpanel48acb" localSheetId="15">#REF!</definedName>
    <definedName name="flushpanel48acb" localSheetId="10">#REF!</definedName>
    <definedName name="flushpanel48acb" localSheetId="17">#REF!</definedName>
    <definedName name="flushpanel48acb" localSheetId="12">#REF!</definedName>
    <definedName name="flushpanel48acb" localSheetId="9">#REF!</definedName>
    <definedName name="flushpanel48acb" localSheetId="13">#REF!</definedName>
    <definedName name="flushpanel48acb" localSheetId="16">#REF!</definedName>
    <definedName name="flushpanel4acb" localSheetId="14">#REF!</definedName>
    <definedName name="flushpanel4acb" localSheetId="15">#REF!</definedName>
    <definedName name="flushpanel4acb" localSheetId="10">#REF!</definedName>
    <definedName name="flushpanel4acb" localSheetId="17">#REF!</definedName>
    <definedName name="flushpanel4acb" localSheetId="12">#REF!</definedName>
    <definedName name="flushpanel4acb" localSheetId="9">#REF!</definedName>
    <definedName name="flushpanel4acb" localSheetId="13">#REF!</definedName>
    <definedName name="flushpanel4acb" localSheetId="16">#REF!</definedName>
    <definedName name="flushpanel6acb" localSheetId="14">#REF!</definedName>
    <definedName name="flushpanel6acb" localSheetId="15">#REF!</definedName>
    <definedName name="flushpanel6acb" localSheetId="10">#REF!</definedName>
    <definedName name="flushpanel6acb" localSheetId="17">#REF!</definedName>
    <definedName name="flushpanel6acb" localSheetId="12">#REF!</definedName>
    <definedName name="flushpanel6acb" localSheetId="9">#REF!</definedName>
    <definedName name="flushpanel6acb" localSheetId="13">#REF!</definedName>
    <definedName name="flushpanel6acb" localSheetId="16">#REF!</definedName>
    <definedName name="flushpanel8acb" localSheetId="14">#REF!</definedName>
    <definedName name="flushpanel8acb" localSheetId="15">#REF!</definedName>
    <definedName name="flushpanel8acb" localSheetId="10">#REF!</definedName>
    <definedName name="flushpanel8acb" localSheetId="17">#REF!</definedName>
    <definedName name="flushpanel8acb" localSheetId="12">#REF!</definedName>
    <definedName name="flushpanel8acb" localSheetId="9">#REF!</definedName>
    <definedName name="flushpanel8acb" localSheetId="13">#REF!</definedName>
    <definedName name="flushpanel8acb" localSheetId="16">#REF!</definedName>
    <definedName name="formw" localSheetId="14">#REF!</definedName>
    <definedName name="formw" localSheetId="15">#REF!</definedName>
    <definedName name="formw" localSheetId="10">#REF!</definedName>
    <definedName name="formw" localSheetId="17">#REF!</definedName>
    <definedName name="formw" localSheetId="12">#REF!</definedName>
    <definedName name="formw" localSheetId="9">#REF!</definedName>
    <definedName name="formw" localSheetId="13">#REF!</definedName>
    <definedName name="formw" localSheetId="16">#REF!</definedName>
    <definedName name="ftt" localSheetId="14">#REF!</definedName>
    <definedName name="ftt" localSheetId="15">#REF!</definedName>
    <definedName name="ftt" localSheetId="10">#REF!</definedName>
    <definedName name="ftt" localSheetId="17">#REF!</definedName>
    <definedName name="ftt" localSheetId="12">#REF!</definedName>
    <definedName name="ftt" localSheetId="9">#REF!</definedName>
    <definedName name="ftt" localSheetId="13">#REF!</definedName>
    <definedName name="ftt" localSheetId="16">#REF!</definedName>
    <definedName name="fusedswitch125a3p" localSheetId="14">#REF!</definedName>
    <definedName name="fusedswitch125a3p" localSheetId="15">#REF!</definedName>
    <definedName name="fusedswitch125a3p" localSheetId="10">#REF!</definedName>
    <definedName name="fusedswitch125a3p" localSheetId="17">#REF!</definedName>
    <definedName name="fusedswitch125a3p" localSheetId="12">#REF!</definedName>
    <definedName name="fusedswitch125a3p" localSheetId="9">#REF!</definedName>
    <definedName name="fusedswitch125a3p" localSheetId="13">#REF!</definedName>
    <definedName name="fusedswitch125a3p" localSheetId="16">#REF!</definedName>
    <definedName name="fusedswitch250a3p" localSheetId="14">#REF!</definedName>
    <definedName name="fusedswitch250a3p" localSheetId="15">#REF!</definedName>
    <definedName name="fusedswitch250a3p" localSheetId="10">#REF!</definedName>
    <definedName name="fusedswitch250a3p" localSheetId="17">#REF!</definedName>
    <definedName name="fusedswitch250a3p" localSheetId="12">#REF!</definedName>
    <definedName name="fusedswitch250a3p" localSheetId="9">#REF!</definedName>
    <definedName name="fusedswitch250a3p" localSheetId="13">#REF!</definedName>
    <definedName name="fusedswitch250a3p" localSheetId="16">#REF!</definedName>
    <definedName name="fusedswitch4003p" localSheetId="14">#REF!</definedName>
    <definedName name="fusedswitch4003p" localSheetId="15">#REF!</definedName>
    <definedName name="fusedswitch4003p" localSheetId="10">#REF!</definedName>
    <definedName name="fusedswitch4003p" localSheetId="17">#REF!</definedName>
    <definedName name="fusedswitch4003p" localSheetId="12">#REF!</definedName>
    <definedName name="fusedswitch4003p" localSheetId="9">#REF!</definedName>
    <definedName name="fusedswitch4003p" localSheetId="13">#REF!</definedName>
    <definedName name="fusedswitch4003p" localSheetId="16">#REF!</definedName>
    <definedName name="fusedswitch630a3p" localSheetId="14">#REF!</definedName>
    <definedName name="fusedswitch630a3p" localSheetId="15">#REF!</definedName>
    <definedName name="fusedswitch630a3p" localSheetId="10">#REF!</definedName>
    <definedName name="fusedswitch630a3p" localSheetId="17">#REF!</definedName>
    <definedName name="fusedswitch630a3p" localSheetId="12">#REF!</definedName>
    <definedName name="fusedswitch630a3p" localSheetId="9">#REF!</definedName>
    <definedName name="fusedswitch630a3p" localSheetId="13">#REF!</definedName>
    <definedName name="fusedswitch630a3p" localSheetId="16">#REF!</definedName>
    <definedName name="fusedswitch63a3p" localSheetId="14">#REF!</definedName>
    <definedName name="fusedswitch63a3p" localSheetId="15">#REF!</definedName>
    <definedName name="fusedswitch63a3p" localSheetId="10">#REF!</definedName>
    <definedName name="fusedswitch63a3p" localSheetId="17">#REF!</definedName>
    <definedName name="fusedswitch63a3p" localSheetId="12">#REF!</definedName>
    <definedName name="fusedswitch63a3p" localSheetId="9">#REF!</definedName>
    <definedName name="fusedswitch63a3p" localSheetId="13">#REF!</definedName>
    <definedName name="fusedswitch63a3p" localSheetId="16">#REF!</definedName>
    <definedName name="gip0.5" localSheetId="14">#REF!</definedName>
    <definedName name="gip0.5" localSheetId="15">#REF!</definedName>
    <definedName name="gip0.5" localSheetId="10">#REF!</definedName>
    <definedName name="gip0.5" localSheetId="17">#REF!</definedName>
    <definedName name="gip0.5" localSheetId="12">#REF!</definedName>
    <definedName name="gip0.5" localSheetId="9">#REF!</definedName>
    <definedName name="gip0.5" localSheetId="13">#REF!</definedName>
    <definedName name="gip0.5" localSheetId="16">#REF!</definedName>
    <definedName name="gip0.75" localSheetId="14">#REF!</definedName>
    <definedName name="gip0.75" localSheetId="15">#REF!</definedName>
    <definedName name="gip0.75" localSheetId="10">#REF!</definedName>
    <definedName name="gip0.75" localSheetId="17">#REF!</definedName>
    <definedName name="gip0.75" localSheetId="12">#REF!</definedName>
    <definedName name="gip0.75" localSheetId="9">#REF!</definedName>
    <definedName name="gip0.75" localSheetId="13">#REF!</definedName>
    <definedName name="gip0.75" localSheetId="16">#REF!</definedName>
    <definedName name="glaz" localSheetId="14">#REF!</definedName>
    <definedName name="glaz" localSheetId="15">#REF!</definedName>
    <definedName name="glaz" localSheetId="10">#REF!</definedName>
    <definedName name="glaz" localSheetId="17">#REF!</definedName>
    <definedName name="glaz" localSheetId="12">#REF!</definedName>
    <definedName name="glaz" localSheetId="9">#REF!</definedName>
    <definedName name="glaz" localSheetId="13">#REF!</definedName>
    <definedName name="glaz" localSheetId="16">#REF!</definedName>
    <definedName name="gslabc20" localSheetId="14">#REF!</definedName>
    <definedName name="gslabc20" localSheetId="15">#REF!</definedName>
    <definedName name="gslabc20" localSheetId="10">#REF!</definedName>
    <definedName name="gslabc20" localSheetId="17">#REF!</definedName>
    <definedName name="gslabc20" localSheetId="12">#REF!</definedName>
    <definedName name="gslabc20" localSheetId="9">#REF!</definedName>
    <definedName name="gslabc20" localSheetId="13">#REF!</definedName>
    <definedName name="gslabc20" localSheetId="16">#REF!</definedName>
    <definedName name="hard" localSheetId="14">#REF!</definedName>
    <definedName name="hard" localSheetId="15">#REF!</definedName>
    <definedName name="hard" localSheetId="10">#REF!</definedName>
    <definedName name="hard" localSheetId="17">#REF!</definedName>
    <definedName name="hard" localSheetId="12">#REF!</definedName>
    <definedName name="hard" localSheetId="9">#REF!</definedName>
    <definedName name="hard" localSheetId="13">#REF!</definedName>
    <definedName name="hard" localSheetId="16">#REF!</definedName>
    <definedName name="intermediateswitch" localSheetId="14">#REF!</definedName>
    <definedName name="intermediateswitch" localSheetId="15">#REF!</definedName>
    <definedName name="intermediateswitch" localSheetId="10">#REF!</definedName>
    <definedName name="intermediateswitch" localSheetId="17">#REF!</definedName>
    <definedName name="intermediateswitch" localSheetId="12">#REF!</definedName>
    <definedName name="intermediateswitch" localSheetId="9">#REF!</definedName>
    <definedName name="intermediateswitch" localSheetId="13">#REF!</definedName>
    <definedName name="intermediateswitch" localSheetId="16">#REF!</definedName>
    <definedName name="KWH32A1P" localSheetId="14">#REF!</definedName>
    <definedName name="KWH32A1P" localSheetId="15">#REF!</definedName>
    <definedName name="KWH32A1P" localSheetId="10">#REF!</definedName>
    <definedName name="KWH32A1P" localSheetId="17">#REF!</definedName>
    <definedName name="KWH32A1P" localSheetId="12">#REF!</definedName>
    <definedName name="KWH32A1P" localSheetId="9">#REF!</definedName>
    <definedName name="KWH32A1P" localSheetId="13">#REF!</definedName>
    <definedName name="KWH32A1P" localSheetId="16">#REF!</definedName>
    <definedName name="kwh63a1p" localSheetId="14">#REF!</definedName>
    <definedName name="kwh63a1p" localSheetId="15">#REF!</definedName>
    <definedName name="kwh63a1p" localSheetId="10">#REF!</definedName>
    <definedName name="kwh63a1p" localSheetId="17">#REF!</definedName>
    <definedName name="kwh63a1p" localSheetId="12">#REF!</definedName>
    <definedName name="kwh63a1p" localSheetId="9">#REF!</definedName>
    <definedName name="kwh63a1p" localSheetId="13">#REF!</definedName>
    <definedName name="kwh63a1p" localSheetId="16">#REF!</definedName>
    <definedName name="KWH63A3P" localSheetId="14">#REF!</definedName>
    <definedName name="KWH63A3P" localSheetId="15">#REF!</definedName>
    <definedName name="KWH63A3P" localSheetId="10">#REF!</definedName>
    <definedName name="KWH63A3P" localSheetId="17">#REF!</definedName>
    <definedName name="KWH63A3P" localSheetId="12">#REF!</definedName>
    <definedName name="KWH63A3P" localSheetId="9">#REF!</definedName>
    <definedName name="KWH63A3P" localSheetId="13">#REF!</definedName>
    <definedName name="KWH63A3P" localSheetId="16">#REF!</definedName>
    <definedName name="latch" localSheetId="14">#REF!</definedName>
    <definedName name="latch" localSheetId="15">#REF!</definedName>
    <definedName name="latch" localSheetId="10">#REF!</definedName>
    <definedName name="latch" localSheetId="17">#REF!</definedName>
    <definedName name="latch" localSheetId="12">#REF!</definedName>
    <definedName name="latch" localSheetId="9">#REF!</definedName>
    <definedName name="latch" localSheetId="13">#REF!</definedName>
    <definedName name="latch" localSheetId="16">#REF!</definedName>
    <definedName name="lightpoint" localSheetId="14">#REF!</definedName>
    <definedName name="lightpoint" localSheetId="15">#REF!</definedName>
    <definedName name="lightpoint" localSheetId="10">#REF!</definedName>
    <definedName name="lightpoint" localSheetId="17">#REF!</definedName>
    <definedName name="lightpoint" localSheetId="12">#REF!</definedName>
    <definedName name="lightpoint" localSheetId="9">#REF!</definedName>
    <definedName name="lightpoint" localSheetId="13">#REF!</definedName>
    <definedName name="lightpoint" localSheetId="16">#REF!</definedName>
    <definedName name="masa" localSheetId="14">#REF!</definedName>
    <definedName name="masa" localSheetId="15">#REF!</definedName>
    <definedName name="masa" localSheetId="10">#REF!</definedName>
    <definedName name="masa" localSheetId="17">#REF!</definedName>
    <definedName name="masa" localSheetId="12">#REF!</definedName>
    <definedName name="masa" localSheetId="9">#REF!</definedName>
    <definedName name="masa" localSheetId="13">#REF!</definedName>
    <definedName name="masa" localSheetId="16">#REF!</definedName>
    <definedName name="masb" localSheetId="14">#REF!</definedName>
    <definedName name="masb" localSheetId="15">#REF!</definedName>
    <definedName name="masb" localSheetId="10">#REF!</definedName>
    <definedName name="masb" localSheetId="17">#REF!</definedName>
    <definedName name="masb" localSheetId="12">#REF!</definedName>
    <definedName name="masb" localSheetId="9">#REF!</definedName>
    <definedName name="masb" localSheetId="13">#REF!</definedName>
    <definedName name="masb" localSheetId="16">#REF!</definedName>
    <definedName name="mccb1000a3p" localSheetId="14">#REF!</definedName>
    <definedName name="mccb1000a3p" localSheetId="15">#REF!</definedName>
    <definedName name="mccb1000a3p" localSheetId="10">#REF!</definedName>
    <definedName name="mccb1000a3p" localSheetId="17">#REF!</definedName>
    <definedName name="mccb1000a3p" localSheetId="12">#REF!</definedName>
    <definedName name="mccb1000a3p" localSheetId="9">#REF!</definedName>
    <definedName name="mccb1000a3p" localSheetId="13">#REF!</definedName>
    <definedName name="mccb1000a3p" localSheetId="16">#REF!</definedName>
    <definedName name="mccb100a3p" localSheetId="14">#REF!</definedName>
    <definedName name="mccb100a3p" localSheetId="15">#REF!</definedName>
    <definedName name="mccb100a3p" localSheetId="10">#REF!</definedName>
    <definedName name="mccb100a3p" localSheetId="17">#REF!</definedName>
    <definedName name="mccb100a3p" localSheetId="12">#REF!</definedName>
    <definedName name="mccb100a3p" localSheetId="9">#REF!</definedName>
    <definedName name="mccb100a3p" localSheetId="13">#REF!</definedName>
    <definedName name="mccb100a3p" localSheetId="16">#REF!</definedName>
    <definedName name="mccb1250a3p" localSheetId="14">#REF!</definedName>
    <definedName name="mccb1250a3p" localSheetId="15">#REF!</definedName>
    <definedName name="mccb1250a3p" localSheetId="10">#REF!</definedName>
    <definedName name="mccb1250a3p" localSheetId="17">#REF!</definedName>
    <definedName name="mccb1250a3p" localSheetId="12">#REF!</definedName>
    <definedName name="mccb1250a3p" localSheetId="9">#REF!</definedName>
    <definedName name="mccb1250a3p" localSheetId="13">#REF!</definedName>
    <definedName name="mccb1250a3p" localSheetId="16">#REF!</definedName>
    <definedName name="mccb125a3p" localSheetId="14">#REF!</definedName>
    <definedName name="mccb125a3p" localSheetId="15">#REF!</definedName>
    <definedName name="mccb125a3p" localSheetId="10">#REF!</definedName>
    <definedName name="mccb125a3p" localSheetId="17">#REF!</definedName>
    <definedName name="mccb125a3p" localSheetId="12">#REF!</definedName>
    <definedName name="mccb125a3p" localSheetId="9">#REF!</definedName>
    <definedName name="mccb125a3p" localSheetId="13">#REF!</definedName>
    <definedName name="mccb125a3p" localSheetId="16">#REF!</definedName>
    <definedName name="mccb1600a3p" localSheetId="14">#REF!</definedName>
    <definedName name="mccb1600a3p" localSheetId="15">#REF!</definedName>
    <definedName name="mccb1600a3p" localSheetId="10">#REF!</definedName>
    <definedName name="mccb1600a3p" localSheetId="17">#REF!</definedName>
    <definedName name="mccb1600a3p" localSheetId="12">#REF!</definedName>
    <definedName name="mccb1600a3p" localSheetId="9">#REF!</definedName>
    <definedName name="mccb1600a3p" localSheetId="13">#REF!</definedName>
    <definedName name="mccb1600a3p" localSheetId="16">#REF!</definedName>
    <definedName name="mccb160a3p" localSheetId="14">#REF!</definedName>
    <definedName name="mccb160a3p" localSheetId="15">#REF!</definedName>
    <definedName name="mccb160a3p" localSheetId="10">#REF!</definedName>
    <definedName name="mccb160a3p" localSheetId="17">#REF!</definedName>
    <definedName name="mccb160a3p" localSheetId="12">#REF!</definedName>
    <definedName name="mccb160a3p" localSheetId="9">#REF!</definedName>
    <definedName name="mccb160a3p" localSheetId="13">#REF!</definedName>
    <definedName name="mccb160a3p" localSheetId="16">#REF!</definedName>
    <definedName name="mccb200a3p" localSheetId="14">#REF!</definedName>
    <definedName name="mccb200a3p" localSheetId="15">#REF!</definedName>
    <definedName name="mccb200a3p" localSheetId="10">#REF!</definedName>
    <definedName name="mccb200a3p" localSheetId="17">#REF!</definedName>
    <definedName name="mccb200a3p" localSheetId="12">#REF!</definedName>
    <definedName name="mccb200a3p" localSheetId="9">#REF!</definedName>
    <definedName name="mccb200a3p" localSheetId="13">#REF!</definedName>
    <definedName name="mccb200a3p" localSheetId="16">#REF!</definedName>
    <definedName name="mccb250a3p" localSheetId="14">#REF!</definedName>
    <definedName name="mccb250a3p" localSheetId="15">#REF!</definedName>
    <definedName name="mccb250a3p" localSheetId="10">#REF!</definedName>
    <definedName name="mccb250a3p" localSheetId="17">#REF!</definedName>
    <definedName name="mccb250a3p" localSheetId="12">#REF!</definedName>
    <definedName name="mccb250a3p" localSheetId="9">#REF!</definedName>
    <definedName name="mccb250a3p" localSheetId="13">#REF!</definedName>
    <definedName name="mccb250a3p" localSheetId="16">#REF!</definedName>
    <definedName name="mccb315a3p" localSheetId="14">#REF!</definedName>
    <definedName name="mccb315a3p" localSheetId="15">#REF!</definedName>
    <definedName name="mccb315a3p" localSheetId="10">#REF!</definedName>
    <definedName name="mccb315a3p" localSheetId="17">#REF!</definedName>
    <definedName name="mccb315a3p" localSheetId="12">#REF!</definedName>
    <definedName name="mccb315a3p" localSheetId="9">#REF!</definedName>
    <definedName name="mccb315a3p" localSheetId="13">#REF!</definedName>
    <definedName name="mccb315a3p" localSheetId="16">#REF!</definedName>
    <definedName name="mccb350a3p" localSheetId="14">#REF!</definedName>
    <definedName name="mccb350a3p" localSheetId="15">#REF!</definedName>
    <definedName name="mccb350a3p" localSheetId="10">#REF!</definedName>
    <definedName name="mccb350a3p" localSheetId="17">#REF!</definedName>
    <definedName name="mccb350a3p" localSheetId="12">#REF!</definedName>
    <definedName name="mccb350a3p" localSheetId="9">#REF!</definedName>
    <definedName name="mccb350a3p" localSheetId="13">#REF!</definedName>
    <definedName name="mccb350a3p" localSheetId="16">#REF!</definedName>
    <definedName name="mccb400a3p" localSheetId="14">#REF!</definedName>
    <definedName name="mccb400a3p" localSheetId="15">#REF!</definedName>
    <definedName name="mccb400a3p" localSheetId="10">#REF!</definedName>
    <definedName name="mccb400a3p" localSheetId="17">#REF!</definedName>
    <definedName name="mccb400a3p" localSheetId="12">#REF!</definedName>
    <definedName name="mccb400a3p" localSheetId="9">#REF!</definedName>
    <definedName name="mccb400a3p" localSheetId="13">#REF!</definedName>
    <definedName name="mccb400a3p" localSheetId="16">#REF!</definedName>
    <definedName name="mccb500a3p" localSheetId="14">#REF!</definedName>
    <definedName name="mccb500a3p" localSheetId="15">#REF!</definedName>
    <definedName name="mccb500a3p" localSheetId="10">#REF!</definedName>
    <definedName name="mccb500a3p" localSheetId="17">#REF!</definedName>
    <definedName name="mccb500a3p" localSheetId="12">#REF!</definedName>
    <definedName name="mccb500a3p" localSheetId="9">#REF!</definedName>
    <definedName name="mccb500a3p" localSheetId="13">#REF!</definedName>
    <definedName name="mccb500a3p" localSheetId="16">#REF!</definedName>
    <definedName name="mccb630a3p" localSheetId="14">#REF!</definedName>
    <definedName name="mccb630a3p" localSheetId="15">#REF!</definedName>
    <definedName name="mccb630a3p" localSheetId="10">#REF!</definedName>
    <definedName name="mccb630a3p" localSheetId="17">#REF!</definedName>
    <definedName name="mccb630a3p" localSheetId="12">#REF!</definedName>
    <definedName name="mccb630a3p" localSheetId="9">#REF!</definedName>
    <definedName name="mccb630a3p" localSheetId="13">#REF!</definedName>
    <definedName name="mccb630a3p" localSheetId="16">#REF!</definedName>
    <definedName name="mccb80a3p" localSheetId="14">#REF!</definedName>
    <definedName name="mccb80a3p" localSheetId="15">#REF!</definedName>
    <definedName name="mccb80a3p" localSheetId="10">#REF!</definedName>
    <definedName name="mccb80a3p" localSheetId="17">#REF!</definedName>
    <definedName name="mccb80a3p" localSheetId="12">#REF!</definedName>
    <definedName name="mccb80a3p" localSheetId="9">#REF!</definedName>
    <definedName name="mccb80a3p" localSheetId="13">#REF!</definedName>
    <definedName name="mccb80a3p" localSheetId="16">#REF!</definedName>
    <definedName name="movement_sensor" localSheetId="14">#REF!</definedName>
    <definedName name="movement_sensor" localSheetId="15">#REF!</definedName>
    <definedName name="movement_sensor" localSheetId="10">#REF!</definedName>
    <definedName name="movement_sensor" localSheetId="17">#REF!</definedName>
    <definedName name="movement_sensor" localSheetId="12">#REF!</definedName>
    <definedName name="movement_sensor" localSheetId="9">#REF!</definedName>
    <definedName name="movement_sensor" localSheetId="13">#REF!</definedName>
    <definedName name="movement_sensor" localSheetId="16">#REF!</definedName>
    <definedName name="pacific095136" localSheetId="14">#REF!</definedName>
    <definedName name="pacific095136" localSheetId="15">#REF!</definedName>
    <definedName name="pacific095136" localSheetId="10">#REF!</definedName>
    <definedName name="pacific095136" localSheetId="17">#REF!</definedName>
    <definedName name="pacific095136" localSheetId="12">#REF!</definedName>
    <definedName name="pacific095136" localSheetId="9">#REF!</definedName>
    <definedName name="pacific095136" localSheetId="13">#REF!</definedName>
    <definedName name="pacific095136" localSheetId="16">#REF!</definedName>
    <definedName name="pacific095236" localSheetId="14">#REF!</definedName>
    <definedName name="pacific095236" localSheetId="15">#REF!</definedName>
    <definedName name="pacific095236" localSheetId="10">#REF!</definedName>
    <definedName name="pacific095236" localSheetId="17">#REF!</definedName>
    <definedName name="pacific095236" localSheetId="12">#REF!</definedName>
    <definedName name="pacific095236" localSheetId="9">#REF!</definedName>
    <definedName name="pacific095236" localSheetId="13">#REF!</definedName>
    <definedName name="pacific095236" localSheetId="16">#REF!</definedName>
    <definedName name="paint" localSheetId="14">#REF!</definedName>
    <definedName name="paint" localSheetId="15">#REF!</definedName>
    <definedName name="paint" localSheetId="10">#REF!</definedName>
    <definedName name="paint" localSheetId="17">#REF!</definedName>
    <definedName name="paint" localSheetId="12">#REF!</definedName>
    <definedName name="paint" localSheetId="9">#REF!</definedName>
    <definedName name="paint" localSheetId="13">#REF!</definedName>
    <definedName name="paint" localSheetId="16">#REF!</definedName>
    <definedName name="photocell" localSheetId="14">#REF!</definedName>
    <definedName name="photocell" localSheetId="15">#REF!</definedName>
    <definedName name="photocell" localSheetId="10">#REF!</definedName>
    <definedName name="photocell" localSheetId="17">#REF!</definedName>
    <definedName name="photocell" localSheetId="12">#REF!</definedName>
    <definedName name="photocell" localSheetId="9">#REF!</definedName>
    <definedName name="photocell" localSheetId="13">#REF!</definedName>
    <definedName name="photocell" localSheetId="16">#REF!</definedName>
    <definedName name="point" localSheetId="14">#REF!</definedName>
    <definedName name="point" localSheetId="15">#REF!</definedName>
    <definedName name="point" localSheetId="10">#REF!</definedName>
    <definedName name="point" localSheetId="17">#REF!</definedName>
    <definedName name="point" localSheetId="12">#REF!</definedName>
    <definedName name="point" localSheetId="9">#REF!</definedName>
    <definedName name="point" localSheetId="13">#REF!</definedName>
    <definedName name="point" localSheetId="16">#REF!</definedName>
    <definedName name="poweroutlet25a1p3x6" localSheetId="14">#REF!</definedName>
    <definedName name="poweroutlet25a1p3x6" localSheetId="15">#REF!</definedName>
    <definedName name="poweroutlet25a1p3x6" localSheetId="10">#REF!</definedName>
    <definedName name="poweroutlet25a1p3x6" localSheetId="17">#REF!</definedName>
    <definedName name="poweroutlet25a1p3x6" localSheetId="12">#REF!</definedName>
    <definedName name="poweroutlet25a1p3x6" localSheetId="9">#REF!</definedName>
    <definedName name="poweroutlet25a1p3x6" localSheetId="13">#REF!</definedName>
    <definedName name="poweroutlet25a1p3x6" localSheetId="16">#REF!</definedName>
    <definedName name="poweroutlet25a3p4x6" localSheetId="14">#REF!</definedName>
    <definedName name="poweroutlet25a3p4x6" localSheetId="15">#REF!</definedName>
    <definedName name="poweroutlet25a3p4x6" localSheetId="10">#REF!</definedName>
    <definedName name="poweroutlet25a3p4x6" localSheetId="17">#REF!</definedName>
    <definedName name="poweroutlet25a3p4x6" localSheetId="12">#REF!</definedName>
    <definedName name="poweroutlet25a3p4x6" localSheetId="9">#REF!</definedName>
    <definedName name="poweroutlet25a3p4x6" localSheetId="13">#REF!</definedName>
    <definedName name="poweroutlet25a3p4x6" localSheetId="16">#REF!</definedName>
    <definedName name="preventorp1" localSheetId="14">#REF!</definedName>
    <definedName name="preventorp1" localSheetId="15">#REF!</definedName>
    <definedName name="preventorp1" localSheetId="10">#REF!</definedName>
    <definedName name="preventorp1" localSheetId="17">#REF!</definedName>
    <definedName name="preventorp1" localSheetId="12">#REF!</definedName>
    <definedName name="preventorp1" localSheetId="9">#REF!</definedName>
    <definedName name="preventorp1" localSheetId="13">#REF!</definedName>
    <definedName name="preventorp1" localSheetId="16">#REF!</definedName>
    <definedName name="preventorp2" localSheetId="14">#REF!</definedName>
    <definedName name="preventorp2" localSheetId="15">#REF!</definedName>
    <definedName name="preventorp2" localSheetId="10">#REF!</definedName>
    <definedName name="preventorp2" localSheetId="17">#REF!</definedName>
    <definedName name="preventorp2" localSheetId="12">#REF!</definedName>
    <definedName name="preventorp2" localSheetId="9">#REF!</definedName>
    <definedName name="preventorp2" localSheetId="13">#REF!</definedName>
    <definedName name="preventorp2" localSheetId="16">#REF!</definedName>
    <definedName name="preventorp3" localSheetId="14">#REF!</definedName>
    <definedName name="preventorp3" localSheetId="15">#REF!</definedName>
    <definedName name="preventorp3" localSheetId="10">#REF!</definedName>
    <definedName name="preventorp3" localSheetId="17">#REF!</definedName>
    <definedName name="preventorp3" localSheetId="12">#REF!</definedName>
    <definedName name="preventorp3" localSheetId="9">#REF!</definedName>
    <definedName name="preventorp3" localSheetId="13">#REF!</definedName>
    <definedName name="preventorp3" localSheetId="16">#REF!</definedName>
    <definedName name="preventorp4" localSheetId="14">#REF!</definedName>
    <definedName name="preventorp4" localSheetId="15">#REF!</definedName>
    <definedName name="preventorp4" localSheetId="10">#REF!</definedName>
    <definedName name="preventorp4" localSheetId="17">#REF!</definedName>
    <definedName name="preventorp4" localSheetId="12">#REF!</definedName>
    <definedName name="preventorp4" localSheetId="9">#REF!</definedName>
    <definedName name="preventorp4" localSheetId="13">#REF!</definedName>
    <definedName name="preventorp4" localSheetId="16">#REF!</definedName>
    <definedName name="_xlnm.Print_Area" localSheetId="14">AEARATION!$A$1:$I$83</definedName>
    <definedName name="_xlnm.Print_Area" localSheetId="15">'bar schedule (2)'!$A$1:$P$131</definedName>
    <definedName name="_xlnm.Print_Area" localSheetId="1">'certificate '!$A$1:$H$60</definedName>
    <definedName name="_xlnm.Print_Area" localSheetId="10" xml:space="preserve">                Dortmund!$A$1:$I$93</definedName>
    <definedName name="_xlnm.Print_Area" localSheetId="26">'DS Bar Sche RB SDB g ERP'!$A$1:$P$95</definedName>
    <definedName name="_xlnm.Print_Area" localSheetId="17">'DS Retaining Wall '!$A$1:$K$53</definedName>
    <definedName name="_xlnm.Print_Area" localSheetId="12">EMERGENCY!$A$1:$I$52</definedName>
    <definedName name="_xlnm.Print_Area" localSheetId="6">'Grand Summary'!$A$1:$K$68</definedName>
    <definedName name="_xlnm.Print_Area" localSheetId="9">Imhoff!$A$1:$K$126</definedName>
    <definedName name="_xlnm.Print_Area" localSheetId="11">'Raw water pumping station'!$A$1:$K$68</definedName>
    <definedName name="_xlnm.Print_Area" localSheetId="21">'SDB Gates 1 2 3 and 4'!$A$1:$K$258</definedName>
    <definedName name="_xlnm.Print_Area" localSheetId="13">'service building'!$A$1:$K$61</definedName>
    <definedName name="_xlnm.Print_Area" localSheetId="7">'Sewage uPVC Pipe and Manhole'!$A$1:$K$105</definedName>
    <definedName name="_xlnm.Print_Area" localSheetId="20">'Site Road'!$A$1:$G$107</definedName>
    <definedName name="_xlnm.Print_Area" localSheetId="16">'Storm Water Drainage'!$A$1:$K$60</definedName>
    <definedName name="_xlnm.Print_Area" localSheetId="5">SUMMARY!$B$1:$P$1463</definedName>
    <definedName name="_xlnm.Print_Area" localSheetId="18">'Walk way &amp; crossing '!$A$1:$K$62</definedName>
    <definedName name="_xlnm.Print_Area" localSheetId="19">'Water Supply'!$A$1:$K$51</definedName>
    <definedName name="_xlnm.Print_Titles" localSheetId="5">SUMMARY!$2:$14</definedName>
    <definedName name="ptli" localSheetId="14">#REF!</definedName>
    <definedName name="ptli" localSheetId="15">#REF!</definedName>
    <definedName name="ptli" localSheetId="10">#REF!</definedName>
    <definedName name="ptli" localSheetId="17">#REF!</definedName>
    <definedName name="ptli" localSheetId="12">#REF!</definedName>
    <definedName name="ptli" localSheetId="9">#REF!</definedName>
    <definedName name="ptli" localSheetId="13">#REF!</definedName>
    <definedName name="ptli" localSheetId="16">#REF!</definedName>
    <definedName name="pvcconductor1.5" localSheetId="14">#REF!</definedName>
    <definedName name="pvcconductor1.5" localSheetId="15">#REF!</definedName>
    <definedName name="pvcconductor1.5" localSheetId="10">#REF!</definedName>
    <definedName name="pvcconductor1.5" localSheetId="17">#REF!</definedName>
    <definedName name="pvcconductor1.5" localSheetId="12">#REF!</definedName>
    <definedName name="pvcconductor1.5" localSheetId="9">#REF!</definedName>
    <definedName name="pvcconductor1.5" localSheetId="13">#REF!</definedName>
    <definedName name="pvcconductor1.5" localSheetId="16">#REF!</definedName>
    <definedName name="pvcconductor10" localSheetId="14">#REF!</definedName>
    <definedName name="pvcconductor10" localSheetId="15">#REF!</definedName>
    <definedName name="pvcconductor10" localSheetId="10">#REF!</definedName>
    <definedName name="pvcconductor10" localSheetId="17">#REF!</definedName>
    <definedName name="pvcconductor10" localSheetId="12">#REF!</definedName>
    <definedName name="pvcconductor10" localSheetId="9">#REF!</definedName>
    <definedName name="pvcconductor10" localSheetId="13">#REF!</definedName>
    <definedName name="pvcconductor10" localSheetId="16">#REF!</definedName>
    <definedName name="pvcconductor16" localSheetId="14">#REF!</definedName>
    <definedName name="pvcconductor16" localSheetId="15">#REF!</definedName>
    <definedName name="pvcconductor16" localSheetId="10">#REF!</definedName>
    <definedName name="pvcconductor16" localSheetId="17">#REF!</definedName>
    <definedName name="pvcconductor16" localSheetId="12">#REF!</definedName>
    <definedName name="pvcconductor16" localSheetId="9">#REF!</definedName>
    <definedName name="pvcconductor16" localSheetId="13">#REF!</definedName>
    <definedName name="pvcconductor16" localSheetId="16">#REF!</definedName>
    <definedName name="pvcconductor2.5" localSheetId="14">#REF!</definedName>
    <definedName name="pvcconductor2.5" localSheetId="15">#REF!</definedName>
    <definedName name="pvcconductor2.5" localSheetId="10">#REF!</definedName>
    <definedName name="pvcconductor2.5" localSheetId="17">#REF!</definedName>
    <definedName name="pvcconductor2.5" localSheetId="12">#REF!</definedName>
    <definedName name="pvcconductor2.5" localSheetId="9">#REF!</definedName>
    <definedName name="pvcconductor2.5" localSheetId="13">#REF!</definedName>
    <definedName name="pvcconductor2.5" localSheetId="16">#REF!</definedName>
    <definedName name="pvcconductor25" localSheetId="14">#REF!</definedName>
    <definedName name="pvcconductor25" localSheetId="15">#REF!</definedName>
    <definedName name="pvcconductor25" localSheetId="10">#REF!</definedName>
    <definedName name="pvcconductor25" localSheetId="17">#REF!</definedName>
    <definedName name="pvcconductor25" localSheetId="12">#REF!</definedName>
    <definedName name="pvcconductor25" localSheetId="9">#REF!</definedName>
    <definedName name="pvcconductor25" localSheetId="13">#REF!</definedName>
    <definedName name="pvcconductor25" localSheetId="16">#REF!</definedName>
    <definedName name="pvcconductor4" localSheetId="14">#REF!</definedName>
    <definedName name="pvcconductor4" localSheetId="15">#REF!</definedName>
    <definedName name="pvcconductor4" localSheetId="10">#REF!</definedName>
    <definedName name="pvcconductor4" localSheetId="17">#REF!</definedName>
    <definedName name="pvcconductor4" localSheetId="12">#REF!</definedName>
    <definedName name="pvcconductor4" localSheetId="9">#REF!</definedName>
    <definedName name="pvcconductor4" localSheetId="13">#REF!</definedName>
    <definedName name="pvcconductor4" localSheetId="16">#REF!</definedName>
    <definedName name="pvcconductor6" localSheetId="14">#REF!</definedName>
    <definedName name="pvcconductor6" localSheetId="15">#REF!</definedName>
    <definedName name="pvcconductor6" localSheetId="10">#REF!</definedName>
    <definedName name="pvcconductor6" localSheetId="17">#REF!</definedName>
    <definedName name="pvcconductor6" localSheetId="12">#REF!</definedName>
    <definedName name="pvcconductor6" localSheetId="9">#REF!</definedName>
    <definedName name="pvcconductor6" localSheetId="13">#REF!</definedName>
    <definedName name="pvcconductor6" localSheetId="16">#REF!</definedName>
    <definedName name="rahel" localSheetId="14">#REF!</definedName>
    <definedName name="rahel" localSheetId="15">#REF!</definedName>
    <definedName name="rahel" localSheetId="10">#REF!</definedName>
    <definedName name="rahel" localSheetId="17">#REF!</definedName>
    <definedName name="rahel" localSheetId="12">#REF!</definedName>
    <definedName name="rahel" localSheetId="9">#REF!</definedName>
    <definedName name="rahel" localSheetId="13">#REF!</definedName>
    <definedName name="rahel" localSheetId="16">#REF!</definedName>
    <definedName name="rei" localSheetId="14">#REF!</definedName>
    <definedName name="rei" localSheetId="15">#REF!</definedName>
    <definedName name="rei" localSheetId="10">#REF!</definedName>
    <definedName name="rei" localSheetId="17">#REF!</definedName>
    <definedName name="rei" localSheetId="12">#REF!</definedName>
    <definedName name="rei" localSheetId="9">#REF!</definedName>
    <definedName name="rei" localSheetId="13">#REF!</definedName>
    <definedName name="rei" localSheetId="16">#REF!</definedName>
    <definedName name="rende" localSheetId="14">#REF!</definedName>
    <definedName name="rende" localSheetId="15">#REF!</definedName>
    <definedName name="rende" localSheetId="10">#REF!</definedName>
    <definedName name="rende" localSheetId="17">#REF!</definedName>
    <definedName name="rende" localSheetId="12">#REF!</definedName>
    <definedName name="rende" localSheetId="9">#REF!</definedName>
    <definedName name="rende" localSheetId="13">#REF!</definedName>
    <definedName name="rende" localSheetId="16">#REF!</definedName>
    <definedName name="rhsprofile" localSheetId="14">#REF!</definedName>
    <definedName name="rhsprofile" localSheetId="15">#REF!</definedName>
    <definedName name="rhsprofile" localSheetId="10">#REF!</definedName>
    <definedName name="rhsprofile" localSheetId="17">#REF!</definedName>
    <definedName name="rhsprofile" localSheetId="12">#REF!</definedName>
    <definedName name="rhsprofile" localSheetId="9">#REF!</definedName>
    <definedName name="rhsprofile" localSheetId="13">#REF!</definedName>
    <definedName name="rhsprofile" localSheetId="16">#REF!</definedName>
    <definedName name="SALI_REMOTE" localSheetId="14">#REF!</definedName>
    <definedName name="SALI_REMOTE" localSheetId="15">#REF!</definedName>
    <definedName name="SALI_REMOTE" localSheetId="10">#REF!</definedName>
    <definedName name="SALI_REMOTE" localSheetId="17">#REF!</definedName>
    <definedName name="SALI_REMOTE" localSheetId="12">#REF!</definedName>
    <definedName name="SALI_REMOTE" localSheetId="9">#REF!</definedName>
    <definedName name="SALI_REMOTE" localSheetId="13">#REF!</definedName>
    <definedName name="SALI_REMOTE" localSheetId="16">#REF!</definedName>
    <definedName name="sat_tv_fm" localSheetId="14">#REF!</definedName>
    <definedName name="sat_tv_fm" localSheetId="15">#REF!</definedName>
    <definedName name="sat_tv_fm" localSheetId="10">#REF!</definedName>
    <definedName name="sat_tv_fm" localSheetId="17">#REF!</definedName>
    <definedName name="sat_tv_fm" localSheetId="12">#REF!</definedName>
    <definedName name="sat_tv_fm" localSheetId="9">#REF!</definedName>
    <definedName name="sat_tv_fm" localSheetId="13">#REF!</definedName>
    <definedName name="sat_tv_fm" localSheetId="16">#REF!</definedName>
    <definedName name="sat_tv_fm_l" localSheetId="14">#REF!</definedName>
    <definedName name="sat_tv_fm_l" localSheetId="15">#REF!</definedName>
    <definedName name="sat_tv_fm_l" localSheetId="10">#REF!</definedName>
    <definedName name="sat_tv_fm_l" localSheetId="17">#REF!</definedName>
    <definedName name="sat_tv_fm_l" localSheetId="12">#REF!</definedName>
    <definedName name="sat_tv_fm_l" localSheetId="9">#REF!</definedName>
    <definedName name="sat_tv_fm_l" localSheetId="13">#REF!</definedName>
    <definedName name="sat_tv_fm_l" localSheetId="16">#REF!</definedName>
    <definedName name="sat_tv_fm_t" localSheetId="14">#REF!</definedName>
    <definedName name="sat_tv_fm_t" localSheetId="15">#REF!</definedName>
    <definedName name="sat_tv_fm_t" localSheetId="10">#REF!</definedName>
    <definedName name="sat_tv_fm_t" localSheetId="17">#REF!</definedName>
    <definedName name="sat_tv_fm_t" localSheetId="12">#REF!</definedName>
    <definedName name="sat_tv_fm_t" localSheetId="9">#REF!</definedName>
    <definedName name="sat_tv_fm_t" localSheetId="13">#REF!</definedName>
    <definedName name="sat_tv_fm_t" localSheetId="16">#REF!</definedName>
    <definedName name="screed" localSheetId="14">#REF!</definedName>
    <definedName name="screed" localSheetId="15">#REF!</definedName>
    <definedName name="screed" localSheetId="10">#REF!</definedName>
    <definedName name="screed" localSheetId="17">#REF!</definedName>
    <definedName name="screed" localSheetId="12">#REF!</definedName>
    <definedName name="screed" localSheetId="9">#REF!</definedName>
    <definedName name="screed" localSheetId="13">#REF!</definedName>
    <definedName name="screed" localSheetId="16">#REF!</definedName>
    <definedName name="sene" localSheetId="14">#REF!</definedName>
    <definedName name="sene" localSheetId="15">#REF!</definedName>
    <definedName name="sene" localSheetId="10">#REF!</definedName>
    <definedName name="sene" localSheetId="17">#REF!</definedName>
    <definedName name="sene" localSheetId="12">#REF!</definedName>
    <definedName name="sene" localSheetId="9">#REF!</definedName>
    <definedName name="sene" localSheetId="13">#REF!</definedName>
    <definedName name="sene" localSheetId="16">#REF!</definedName>
    <definedName name="singleswitch" localSheetId="14">#REF!</definedName>
    <definedName name="singleswitch" localSheetId="15">#REF!</definedName>
    <definedName name="singleswitch" localSheetId="10">#REF!</definedName>
    <definedName name="singleswitch" localSheetId="17">#REF!</definedName>
    <definedName name="singleswitch" localSheetId="12">#REF!</definedName>
    <definedName name="singleswitch" localSheetId="9">#REF!</definedName>
    <definedName name="singleswitch" localSheetId="13">#REF!</definedName>
    <definedName name="singleswitch" localSheetId="16">#REF!</definedName>
    <definedName name="singleswitchwp" localSheetId="14">#REF!</definedName>
    <definedName name="singleswitchwp" localSheetId="15">#REF!</definedName>
    <definedName name="singleswitchwp" localSheetId="10">#REF!</definedName>
    <definedName name="singleswitchwp" localSheetId="17">#REF!</definedName>
    <definedName name="singleswitchwp" localSheetId="12">#REF!</definedName>
    <definedName name="singleswitchwp" localSheetId="9">#REF!</definedName>
    <definedName name="singleswitchwp" localSheetId="13">#REF!</definedName>
    <definedName name="singleswitchwp" localSheetId="16">#REF!</definedName>
    <definedName name="socket10a1p" localSheetId="14">#REF!</definedName>
    <definedName name="socket10a1p" localSheetId="15">#REF!</definedName>
    <definedName name="socket10a1p" localSheetId="10">#REF!</definedName>
    <definedName name="socket10a1p" localSheetId="17">#REF!</definedName>
    <definedName name="socket10a1p" localSheetId="12">#REF!</definedName>
    <definedName name="socket10a1p" localSheetId="9">#REF!</definedName>
    <definedName name="socket10a1p" localSheetId="13">#REF!</definedName>
    <definedName name="socket10a1p" localSheetId="16">#REF!</definedName>
    <definedName name="socket16a1p" localSheetId="14">#REF!</definedName>
    <definedName name="socket16a1p" localSheetId="15">#REF!</definedName>
    <definedName name="socket16a1p" localSheetId="10">#REF!</definedName>
    <definedName name="socket16a1p" localSheetId="17">#REF!</definedName>
    <definedName name="socket16a1p" localSheetId="12">#REF!</definedName>
    <definedName name="socket16a1p" localSheetId="9">#REF!</definedName>
    <definedName name="socket16a1p" localSheetId="13">#REF!</definedName>
    <definedName name="socket16a1p" localSheetId="16">#REF!</definedName>
    <definedName name="SOCKET16A3P" localSheetId="14">#REF!</definedName>
    <definedName name="SOCKET16A3P" localSheetId="15">#REF!</definedName>
    <definedName name="SOCKET16A3P" localSheetId="10">#REF!</definedName>
    <definedName name="SOCKET16A3P" localSheetId="17">#REF!</definedName>
    <definedName name="SOCKET16A3P" localSheetId="12">#REF!</definedName>
    <definedName name="SOCKET16A3P" localSheetId="9">#REF!</definedName>
    <definedName name="SOCKET16A3P" localSheetId="13">#REF!</definedName>
    <definedName name="SOCKET16A3P" localSheetId="16">#REF!</definedName>
    <definedName name="socket16a3x4" localSheetId="14">#REF!</definedName>
    <definedName name="socket16a3x4" localSheetId="15">#REF!</definedName>
    <definedName name="socket16a3x4" localSheetId="10">#REF!</definedName>
    <definedName name="socket16a3x4" localSheetId="17">#REF!</definedName>
    <definedName name="socket16a3x4" localSheetId="12">#REF!</definedName>
    <definedName name="socket16a3x4" localSheetId="9">#REF!</definedName>
    <definedName name="socket16a3x4" localSheetId="13">#REF!</definedName>
    <definedName name="socket16a3x4" localSheetId="16">#REF!</definedName>
    <definedName name="SOCKET20A1P" localSheetId="14">#REF!</definedName>
    <definedName name="SOCKET20A1P" localSheetId="15">#REF!</definedName>
    <definedName name="SOCKET20A1P" localSheetId="10">#REF!</definedName>
    <definedName name="SOCKET20A1P" localSheetId="17">#REF!</definedName>
    <definedName name="SOCKET20A1P" localSheetId="12">#REF!</definedName>
    <definedName name="SOCKET20A1P" localSheetId="9">#REF!</definedName>
    <definedName name="SOCKET20A1P" localSheetId="13">#REF!</definedName>
    <definedName name="SOCKET20A1P" localSheetId="16">#REF!</definedName>
    <definedName name="socketoutlet_schucko" localSheetId="14">#REF!</definedName>
    <definedName name="socketoutlet_schucko" localSheetId="15">#REF!</definedName>
    <definedName name="socketoutlet_schucko" localSheetId="10">#REF!</definedName>
    <definedName name="socketoutlet_schucko" localSheetId="17">#REF!</definedName>
    <definedName name="socketoutlet_schucko" localSheetId="12">#REF!</definedName>
    <definedName name="socketoutlet_schucko" localSheetId="9">#REF!</definedName>
    <definedName name="socketoutlet_schucko" localSheetId="13">#REF!</definedName>
    <definedName name="socketoutlet_schucko" localSheetId="16">#REF!</definedName>
    <definedName name="socketwithswitch16a1p" localSheetId="14">#REF!</definedName>
    <definedName name="socketwithswitch16a1p" localSheetId="15">#REF!</definedName>
    <definedName name="socketwithswitch16a1p" localSheetId="10">#REF!</definedName>
    <definedName name="socketwithswitch16a1p" localSheetId="17">#REF!</definedName>
    <definedName name="socketwithswitch16a1p" localSheetId="12">#REF!</definedName>
    <definedName name="socketwithswitch16a1p" localSheetId="9">#REF!</definedName>
    <definedName name="socketwithswitch16a1p" localSheetId="13">#REF!</definedName>
    <definedName name="socketwithswitch16a1p" localSheetId="16">#REF!</definedName>
    <definedName name="socketwp10a1p" localSheetId="14">#REF!</definedName>
    <definedName name="socketwp10a1p" localSheetId="15">#REF!</definedName>
    <definedName name="socketwp10a1p" localSheetId="10">#REF!</definedName>
    <definedName name="socketwp10a1p" localSheetId="17">#REF!</definedName>
    <definedName name="socketwp10a1p" localSheetId="12">#REF!</definedName>
    <definedName name="socketwp10a1p" localSheetId="9">#REF!</definedName>
    <definedName name="socketwp10a1p" localSheetId="13">#REF!</definedName>
    <definedName name="socketwp10a1p" localSheetId="16">#REF!</definedName>
    <definedName name="ss." localSheetId="14">#REF!</definedName>
    <definedName name="ss." localSheetId="15">#REF!</definedName>
    <definedName name="ss." localSheetId="10">#REF!</definedName>
    <definedName name="ss." localSheetId="17">#REF!</definedName>
    <definedName name="ss." localSheetId="12">#REF!</definedName>
    <definedName name="ss." localSheetId="9">#REF!</definedName>
    <definedName name="ss." localSheetId="13">#REF!</definedName>
    <definedName name="ss." localSheetId="16">#REF!</definedName>
    <definedName name="staircasetimerswitch" localSheetId="14">#REF!</definedName>
    <definedName name="staircasetimerswitch" localSheetId="15">#REF!</definedName>
    <definedName name="staircasetimerswitch" localSheetId="10">#REF!</definedName>
    <definedName name="staircasetimerswitch" localSheetId="17">#REF!</definedName>
    <definedName name="staircasetimerswitch" localSheetId="12">#REF!</definedName>
    <definedName name="staircasetimerswitch" localSheetId="9">#REF!</definedName>
    <definedName name="staircasetimerswitch" localSheetId="13">#REF!</definedName>
    <definedName name="staircasetimerswitch" localSheetId="16">#REF!</definedName>
    <definedName name="steelmast20" localSheetId="14">#REF!</definedName>
    <definedName name="steelmast20" localSheetId="15">#REF!</definedName>
    <definedName name="steelmast20" localSheetId="10">#REF!</definedName>
    <definedName name="steelmast20" localSheetId="17">#REF!</definedName>
    <definedName name="steelmast20" localSheetId="12">#REF!</definedName>
    <definedName name="steelmast20" localSheetId="9">#REF!</definedName>
    <definedName name="steelmast20" localSheetId="13">#REF!</definedName>
    <definedName name="steelmast20" localSheetId="16">#REF!</definedName>
    <definedName name="steelpole12" localSheetId="14">#REF!</definedName>
    <definedName name="steelpole12" localSheetId="15">#REF!</definedName>
    <definedName name="steelpole12" localSheetId="10">#REF!</definedName>
    <definedName name="steelpole12" localSheetId="17">#REF!</definedName>
    <definedName name="steelpole12" localSheetId="12">#REF!</definedName>
    <definedName name="steelpole12" localSheetId="9">#REF!</definedName>
    <definedName name="steelpole12" localSheetId="13">#REF!</definedName>
    <definedName name="steelpole12" localSheetId="16">#REF!</definedName>
    <definedName name="steelpole3" localSheetId="14">#REF!</definedName>
    <definedName name="steelpole3" localSheetId="15">#REF!</definedName>
    <definedName name="steelpole3" localSheetId="10">#REF!</definedName>
    <definedName name="steelpole3" localSheetId="17">#REF!</definedName>
    <definedName name="steelpole3" localSheetId="12">#REF!</definedName>
    <definedName name="steelpole3" localSheetId="9">#REF!</definedName>
    <definedName name="steelpole3" localSheetId="13">#REF!</definedName>
    <definedName name="steelpole3" localSheetId="16">#REF!</definedName>
    <definedName name="steelpole6" localSheetId="14">#REF!</definedName>
    <definedName name="steelpole6" localSheetId="15">#REF!</definedName>
    <definedName name="steelpole6" localSheetId="10">#REF!</definedName>
    <definedName name="steelpole6" localSheetId="17">#REF!</definedName>
    <definedName name="steelpole6" localSheetId="12">#REF!</definedName>
    <definedName name="steelpole6" localSheetId="9">#REF!</definedName>
    <definedName name="steelpole6" localSheetId="13">#REF!</definedName>
    <definedName name="steelpole6" localSheetId="16">#REF!</definedName>
    <definedName name="steelpole9" localSheetId="14">#REF!</definedName>
    <definedName name="steelpole9" localSheetId="15">#REF!</definedName>
    <definedName name="steelpole9" localSheetId="10">#REF!</definedName>
    <definedName name="steelpole9" localSheetId="17">#REF!</definedName>
    <definedName name="steelpole9" localSheetId="12">#REF!</definedName>
    <definedName name="steelpole9" localSheetId="9">#REF!</definedName>
    <definedName name="steelpole9" localSheetId="13">#REF!</definedName>
    <definedName name="steelpole9" localSheetId="16">#REF!</definedName>
    <definedName name="sub" localSheetId="14">#REF!</definedName>
    <definedName name="sub" localSheetId="15">#REF!</definedName>
    <definedName name="sub" localSheetId="10">#REF!</definedName>
    <definedName name="sub" localSheetId="17">#REF!</definedName>
    <definedName name="sub" localSheetId="12">#REF!</definedName>
    <definedName name="sub" localSheetId="9">#REF!</definedName>
    <definedName name="sub" localSheetId="13">#REF!</definedName>
    <definedName name="sub" localSheetId="16">#REF!</definedName>
    <definedName name="supper" localSheetId="14">#REF!</definedName>
    <definedName name="supper" localSheetId="15">#REF!</definedName>
    <definedName name="supper" localSheetId="10">#REF!</definedName>
    <definedName name="supper" localSheetId="17">#REF!</definedName>
    <definedName name="supper" localSheetId="12">#REF!</definedName>
    <definedName name="supper" localSheetId="9">#REF!</definedName>
    <definedName name="supper" localSheetId="13">#REF!</definedName>
    <definedName name="supper" localSheetId="16">#REF!</definedName>
    <definedName name="surfacepanel12acb" localSheetId="14">#REF!</definedName>
    <definedName name="surfacepanel12acb" localSheetId="15">#REF!</definedName>
    <definedName name="surfacepanel12acb" localSheetId="10">#REF!</definedName>
    <definedName name="surfacepanel12acb" localSheetId="17">#REF!</definedName>
    <definedName name="surfacepanel12acb" localSheetId="12">#REF!</definedName>
    <definedName name="surfacepanel12acb" localSheetId="9">#REF!</definedName>
    <definedName name="surfacepanel12acb" localSheetId="13">#REF!</definedName>
    <definedName name="surfacepanel12acb" localSheetId="16">#REF!</definedName>
    <definedName name="surfacepanel24acb" localSheetId="14">#REF!</definedName>
    <definedName name="surfacepanel24acb" localSheetId="15">#REF!</definedName>
    <definedName name="surfacepanel24acb" localSheetId="10">#REF!</definedName>
    <definedName name="surfacepanel24acb" localSheetId="17">#REF!</definedName>
    <definedName name="surfacepanel24acb" localSheetId="12">#REF!</definedName>
    <definedName name="surfacepanel24acb" localSheetId="9">#REF!</definedName>
    <definedName name="surfacepanel24acb" localSheetId="13">#REF!</definedName>
    <definedName name="surfacepanel24acb" localSheetId="16">#REF!</definedName>
    <definedName name="surfacepanel36acb" localSheetId="14">#REF!</definedName>
    <definedName name="surfacepanel36acb" localSheetId="15">#REF!</definedName>
    <definedName name="surfacepanel36acb" localSheetId="10">#REF!</definedName>
    <definedName name="surfacepanel36acb" localSheetId="17">#REF!</definedName>
    <definedName name="surfacepanel36acb" localSheetId="12">#REF!</definedName>
    <definedName name="surfacepanel36acb" localSheetId="9">#REF!</definedName>
    <definedName name="surfacepanel36acb" localSheetId="13">#REF!</definedName>
    <definedName name="surfacepanel36acb" localSheetId="16">#REF!</definedName>
    <definedName name="surfacepanel8acb" localSheetId="14">#REF!</definedName>
    <definedName name="surfacepanel8acb" localSheetId="15">#REF!</definedName>
    <definedName name="surfacepanel8acb" localSheetId="10">#REF!</definedName>
    <definedName name="surfacepanel8acb" localSheetId="17">#REF!</definedName>
    <definedName name="surfacepanel8acb" localSheetId="12">#REF!</definedName>
    <definedName name="surfacepanel8acb" localSheetId="9">#REF!</definedName>
    <definedName name="surfacepanel8acb" localSheetId="13">#REF!</definedName>
    <definedName name="surfacepanel8acb" localSheetId="16">#REF!</definedName>
    <definedName name="surgearrester_40" localSheetId="14">#REF!</definedName>
    <definedName name="surgearrester_40" localSheetId="15">#REF!</definedName>
    <definedName name="surgearrester_40" localSheetId="10">#REF!</definedName>
    <definedName name="surgearrester_40" localSheetId="17">#REF!</definedName>
    <definedName name="surgearrester_40" localSheetId="12">#REF!</definedName>
    <definedName name="surgearrester_40" localSheetId="9">#REF!</definedName>
    <definedName name="surgearrester_40" localSheetId="13">#REF!</definedName>
    <definedName name="surgearrester_40" localSheetId="16">#REF!</definedName>
    <definedName name="surgearrester_70" localSheetId="14">#REF!</definedName>
    <definedName name="surgearrester_70" localSheetId="15">#REF!</definedName>
    <definedName name="surgearrester_70" localSheetId="10">#REF!</definedName>
    <definedName name="surgearrester_70" localSheetId="17">#REF!</definedName>
    <definedName name="surgearrester_70" localSheetId="12">#REF!</definedName>
    <definedName name="surgearrester_70" localSheetId="9">#REF!</definedName>
    <definedName name="surgearrester_70" localSheetId="13">#REF!</definedName>
    <definedName name="surgearrester_70" localSheetId="16">#REF!</definedName>
    <definedName name="tcs058136il" localSheetId="14">#REF!</definedName>
    <definedName name="tcs058136il" localSheetId="15">#REF!</definedName>
    <definedName name="tcs058136il" localSheetId="10">#REF!</definedName>
    <definedName name="tcs058136il" localSheetId="17">#REF!</definedName>
    <definedName name="tcs058136il" localSheetId="12">#REF!</definedName>
    <definedName name="tcs058136il" localSheetId="9">#REF!</definedName>
    <definedName name="tcs058136il" localSheetId="13">#REF!</definedName>
    <definedName name="tcs058136il" localSheetId="16">#REF!</definedName>
    <definedName name="tcs058136io" localSheetId="14">#REF!</definedName>
    <definedName name="tcs058136io" localSheetId="15">#REF!</definedName>
    <definedName name="tcs058136io" localSheetId="10">#REF!</definedName>
    <definedName name="tcs058136io" localSheetId="17">#REF!</definedName>
    <definedName name="tcs058136io" localSheetId="12">#REF!</definedName>
    <definedName name="tcs058136io" localSheetId="9">#REF!</definedName>
    <definedName name="tcs058136io" localSheetId="13">#REF!</definedName>
    <definedName name="tcs058136io" localSheetId="16">#REF!</definedName>
    <definedName name="tcs058136ip" localSheetId="14">#REF!</definedName>
    <definedName name="tcs058136ip" localSheetId="15">#REF!</definedName>
    <definedName name="tcs058136ip" localSheetId="10">#REF!</definedName>
    <definedName name="tcs058136ip" localSheetId="17">#REF!</definedName>
    <definedName name="tcs058136ip" localSheetId="12">#REF!</definedName>
    <definedName name="tcs058136ip" localSheetId="9">#REF!</definedName>
    <definedName name="tcs058136ip" localSheetId="13">#REF!</definedName>
    <definedName name="tcs058136ip" localSheetId="16">#REF!</definedName>
    <definedName name="tcs058236dl" localSheetId="14">#REF!</definedName>
    <definedName name="tcs058236dl" localSheetId="15">#REF!</definedName>
    <definedName name="tcs058236dl" localSheetId="10">#REF!</definedName>
    <definedName name="tcs058236dl" localSheetId="17">#REF!</definedName>
    <definedName name="tcs058236dl" localSheetId="12">#REF!</definedName>
    <definedName name="tcs058236dl" localSheetId="9">#REF!</definedName>
    <definedName name="tcs058236dl" localSheetId="13">#REF!</definedName>
    <definedName name="tcs058236dl" localSheetId="16">#REF!</definedName>
    <definedName name="tcs058236do" localSheetId="14">#REF!</definedName>
    <definedName name="tcs058236do" localSheetId="15">#REF!</definedName>
    <definedName name="tcs058236do" localSheetId="10">#REF!</definedName>
    <definedName name="tcs058236do" localSheetId="17">#REF!</definedName>
    <definedName name="tcs058236do" localSheetId="12">#REF!</definedName>
    <definedName name="tcs058236do" localSheetId="9">#REF!</definedName>
    <definedName name="tcs058236do" localSheetId="13">#REF!</definedName>
    <definedName name="tcs058236do" localSheetId="16">#REF!</definedName>
    <definedName name="tcs058236dp" localSheetId="14">#REF!</definedName>
    <definedName name="tcs058236dp" localSheetId="15">#REF!</definedName>
    <definedName name="tcs058236dp" localSheetId="10">#REF!</definedName>
    <definedName name="tcs058236dp" localSheetId="17">#REF!</definedName>
    <definedName name="tcs058236dp" localSheetId="12">#REF!</definedName>
    <definedName name="tcs058236dp" localSheetId="9">#REF!</definedName>
    <definedName name="tcs058236dp" localSheetId="13">#REF!</definedName>
    <definedName name="tcs058236dp" localSheetId="16">#REF!</definedName>
    <definedName name="tel" localSheetId="14">#REF!</definedName>
    <definedName name="tel" localSheetId="15">#REF!</definedName>
    <definedName name="tel" localSheetId="10">#REF!</definedName>
    <definedName name="tel" localSheetId="17">#REF!</definedName>
    <definedName name="tel" localSheetId="12">#REF!</definedName>
    <definedName name="tel" localSheetId="9">#REF!</definedName>
    <definedName name="tel" localSheetId="13">#REF!</definedName>
    <definedName name="tel" localSheetId="16">#REF!</definedName>
    <definedName name="telephonepoint" localSheetId="14">#REF!</definedName>
    <definedName name="telephonepoint" localSheetId="15">#REF!</definedName>
    <definedName name="telephonepoint" localSheetId="10">#REF!</definedName>
    <definedName name="telephonepoint" localSheetId="17">#REF!</definedName>
    <definedName name="telephonepoint" localSheetId="12">#REF!</definedName>
    <definedName name="telephonepoint" localSheetId="9">#REF!</definedName>
    <definedName name="telephonepoint" localSheetId="13">#REF!</definedName>
    <definedName name="telephonepoint" localSheetId="16">#REF!</definedName>
    <definedName name="testclamp25x3" localSheetId="14">#REF!</definedName>
    <definedName name="testclamp25x3" localSheetId="15">#REF!</definedName>
    <definedName name="testclamp25x3" localSheetId="10">#REF!</definedName>
    <definedName name="testclamp25x3" localSheetId="17">#REF!</definedName>
    <definedName name="testclamp25x3" localSheetId="12">#REF!</definedName>
    <definedName name="testclamp25x3" localSheetId="9">#REF!</definedName>
    <definedName name="testclamp25x3" localSheetId="13">#REF!</definedName>
    <definedName name="testclamp25x3" localSheetId="16">#REF!</definedName>
    <definedName name="testclamp5070" localSheetId="14">#REF!</definedName>
    <definedName name="testclamp5070" localSheetId="15">#REF!</definedName>
    <definedName name="testclamp5070" localSheetId="10">#REF!</definedName>
    <definedName name="testclamp5070" localSheetId="17">#REF!</definedName>
    <definedName name="testclamp5070" localSheetId="12">#REF!</definedName>
    <definedName name="testclamp5070" localSheetId="9">#REF!</definedName>
    <definedName name="testclamp5070" localSheetId="13">#REF!</definedName>
    <definedName name="testclamp5070" localSheetId="16">#REF!</definedName>
    <definedName name="timerswitch" localSheetId="14">#REF!</definedName>
    <definedName name="timerswitch" localSheetId="15">#REF!</definedName>
    <definedName name="timerswitch" localSheetId="10">#REF!</definedName>
    <definedName name="timerswitch" localSheetId="17">#REF!</definedName>
    <definedName name="timerswitch" localSheetId="12">#REF!</definedName>
    <definedName name="timerswitch" localSheetId="9">#REF!</definedName>
    <definedName name="timerswitch" localSheetId="13">#REF!</definedName>
    <definedName name="timerswitch" localSheetId="16">#REF!</definedName>
    <definedName name="tms136gdl140" localSheetId="14">#REF!</definedName>
    <definedName name="tms136gdl140" localSheetId="15">#REF!</definedName>
    <definedName name="tms136gdl140" localSheetId="10">#REF!</definedName>
    <definedName name="tms136gdl140" localSheetId="17">#REF!</definedName>
    <definedName name="tms136gdl140" localSheetId="12">#REF!</definedName>
    <definedName name="tms136gdl140" localSheetId="9">#REF!</definedName>
    <definedName name="tms136gdl140" localSheetId="13">#REF!</definedName>
    <definedName name="tms136gdl140" localSheetId="16">#REF!</definedName>
    <definedName name="tms136gkd140" localSheetId="14">#REF!</definedName>
    <definedName name="tms136gkd140" localSheetId="15">#REF!</definedName>
    <definedName name="tms136gkd140" localSheetId="10">#REF!</definedName>
    <definedName name="tms136gkd140" localSheetId="17">#REF!</definedName>
    <definedName name="tms136gkd140" localSheetId="12">#REF!</definedName>
    <definedName name="tms136gkd140" localSheetId="9">#REF!</definedName>
    <definedName name="tms136gkd140" localSheetId="13">#REF!</definedName>
    <definedName name="tms136gkd140" localSheetId="16">#REF!</definedName>
    <definedName name="tms236gkh240" localSheetId="14">#REF!</definedName>
    <definedName name="tms236gkh240" localSheetId="15">#REF!</definedName>
    <definedName name="tms236gkh240" localSheetId="10">#REF!</definedName>
    <definedName name="tms236gkh240" localSheetId="17">#REF!</definedName>
    <definedName name="tms236gkh240" localSheetId="12">#REF!</definedName>
    <definedName name="tms236gkh240" localSheetId="9">#REF!</definedName>
    <definedName name="tms236gkh240" localSheetId="13">#REF!</definedName>
    <definedName name="tms236gkh240" localSheetId="16">#REF!</definedName>
    <definedName name="tv" localSheetId="14">#REF!</definedName>
    <definedName name="tv" localSheetId="15">#REF!</definedName>
    <definedName name="tv" localSheetId="10">#REF!</definedName>
    <definedName name="tv" localSheetId="17">#REF!</definedName>
    <definedName name="tv" localSheetId="12">#REF!</definedName>
    <definedName name="tv" localSheetId="9">#REF!</definedName>
    <definedName name="tv" localSheetId="13">#REF!</definedName>
    <definedName name="tv" localSheetId="16">#REF!</definedName>
    <definedName name="tvaerial10element" localSheetId="14">#REF!</definedName>
    <definedName name="tvaerial10element" localSheetId="15">#REF!</definedName>
    <definedName name="tvaerial10element" localSheetId="10">#REF!</definedName>
    <definedName name="tvaerial10element" localSheetId="17">#REF!</definedName>
    <definedName name="tvaerial10element" localSheetId="12">#REF!</definedName>
    <definedName name="tvaerial10element" localSheetId="9">#REF!</definedName>
    <definedName name="tvaerial10element" localSheetId="13">#REF!</definedName>
    <definedName name="tvaerial10element" localSheetId="16">#REF!</definedName>
    <definedName name="tvoutletloopthrough" localSheetId="14">#REF!</definedName>
    <definedName name="tvoutletloopthrough" localSheetId="15">#REF!</definedName>
    <definedName name="tvoutletloopthrough" localSheetId="10">#REF!</definedName>
    <definedName name="tvoutletloopthrough" localSheetId="17">#REF!</definedName>
    <definedName name="tvoutletloopthrough" localSheetId="12">#REF!</definedName>
    <definedName name="tvoutletloopthrough" localSheetId="9">#REF!</definedName>
    <definedName name="tvoutletloopthrough" localSheetId="13">#REF!</definedName>
    <definedName name="tvoutletloopthrough" localSheetId="16">#REF!</definedName>
    <definedName name="tvoutletterminal" localSheetId="14">#REF!</definedName>
    <definedName name="tvoutletterminal" localSheetId="15">#REF!</definedName>
    <definedName name="tvoutletterminal" localSheetId="10">#REF!</definedName>
    <definedName name="tvoutletterminal" localSheetId="17">#REF!</definedName>
    <definedName name="tvoutletterminal" localSheetId="12">#REF!</definedName>
    <definedName name="tvoutletterminal" localSheetId="9">#REF!</definedName>
    <definedName name="tvoutletterminal" localSheetId="13">#REF!</definedName>
    <definedName name="tvoutletterminal" localSheetId="16">#REF!</definedName>
    <definedName name="tvpoint" localSheetId="14">#REF!</definedName>
    <definedName name="tvpoint" localSheetId="15">#REF!</definedName>
    <definedName name="tvpoint" localSheetId="10">#REF!</definedName>
    <definedName name="tvpoint" localSheetId="17">#REF!</definedName>
    <definedName name="tvpoint" localSheetId="12">#REF!</definedName>
    <definedName name="tvpoint" localSheetId="9">#REF!</definedName>
    <definedName name="tvpoint" localSheetId="13">#REF!</definedName>
    <definedName name="tvpoint" localSheetId="16">#REF!</definedName>
    <definedName name="twowayswitch" localSheetId="14">#REF!</definedName>
    <definedName name="twowayswitch" localSheetId="15">#REF!</definedName>
    <definedName name="twowayswitch" localSheetId="10">#REF!</definedName>
    <definedName name="twowayswitch" localSheetId="17">#REF!</definedName>
    <definedName name="twowayswitch" localSheetId="12">#REF!</definedName>
    <definedName name="twowayswitch" localSheetId="9">#REF!</definedName>
    <definedName name="twowayswitch" localSheetId="13">#REF!</definedName>
    <definedName name="twowayswitch" localSheetId="16">#REF!</definedName>
    <definedName name="vibrationdetector" localSheetId="14">#REF!</definedName>
    <definedName name="vibrationdetector" localSheetId="15">#REF!</definedName>
    <definedName name="vibrationdetector" localSheetId="10">#REF!</definedName>
    <definedName name="vibrationdetector" localSheetId="17">#REF!</definedName>
    <definedName name="vibrationdetector" localSheetId="12">#REF!</definedName>
    <definedName name="vibrationdetector" localSheetId="9">#REF!</definedName>
    <definedName name="vibrationdetector" localSheetId="13">#REF!</definedName>
    <definedName name="vibrationdetector" localSheetId="16">#REF!</definedName>
    <definedName name="wallglobe" localSheetId="14">#REF!</definedName>
    <definedName name="wallglobe" localSheetId="15">#REF!</definedName>
    <definedName name="wallglobe" localSheetId="10">#REF!</definedName>
    <definedName name="wallglobe" localSheetId="17">#REF!</definedName>
    <definedName name="wallglobe" localSheetId="12">#REF!</definedName>
    <definedName name="wallglobe" localSheetId="9">#REF!</definedName>
    <definedName name="wallglobe" localSheetId="13">#REF!</definedName>
    <definedName name="wallglobe" localSheetId="16">#REF!</definedName>
  </definedNames>
  <calcPr calcId="124519"/>
</workbook>
</file>

<file path=xl/calcChain.xml><?xml version="1.0" encoding="utf-8"?>
<calcChain xmlns="http://schemas.openxmlformats.org/spreadsheetml/2006/main">
  <c r="F6" i="52"/>
  <c r="I24"/>
  <c r="G53" i="8"/>
  <c r="P590" i="6" l="1"/>
  <c r="P589"/>
  <c r="D90" i="11" l="1"/>
  <c r="E90"/>
  <c r="D91"/>
  <c r="D92"/>
  <c r="D93"/>
  <c r="D94"/>
  <c r="D95"/>
  <c r="D96"/>
  <c r="D97"/>
  <c r="D98"/>
  <c r="D99"/>
  <c r="D100"/>
  <c r="D101"/>
  <c r="E91"/>
  <c r="F92" s="1"/>
  <c r="E92"/>
  <c r="E93"/>
  <c r="E94"/>
  <c r="E95"/>
  <c r="F96" s="1"/>
  <c r="E96"/>
  <c r="E97"/>
  <c r="E98"/>
  <c r="E99"/>
  <c r="F100" s="1"/>
  <c r="E100"/>
  <c r="E101"/>
  <c r="K62" i="8"/>
  <c r="N852" i="6"/>
  <c r="O852"/>
  <c r="F101" i="11" l="1"/>
  <c r="F91"/>
  <c r="F98"/>
  <c r="F93"/>
  <c r="F99"/>
  <c r="F97"/>
  <c r="F95"/>
  <c r="F94"/>
  <c r="G22" i="8"/>
  <c r="F102" i="11" l="1"/>
  <c r="K797" i="6" s="1"/>
  <c r="O589"/>
  <c r="O525"/>
  <c r="O587"/>
  <c r="N587"/>
  <c r="M587"/>
  <c r="L587"/>
  <c r="P587" s="1"/>
  <c r="O586"/>
  <c r="N586"/>
  <c r="M586"/>
  <c r="L586"/>
  <c r="P586" s="1"/>
  <c r="O522"/>
  <c r="N522"/>
  <c r="M522"/>
  <c r="L522"/>
  <c r="P522" s="1"/>
  <c r="O521"/>
  <c r="N521"/>
  <c r="M521"/>
  <c r="L521"/>
  <c r="P521" s="1"/>
  <c r="O459"/>
  <c r="O457"/>
  <c r="N457"/>
  <c r="M457"/>
  <c r="L457"/>
  <c r="P457" s="1"/>
  <c r="O456"/>
  <c r="N456"/>
  <c r="M456"/>
  <c r="L456"/>
  <c r="P456" s="1"/>
  <c r="O407"/>
  <c r="O405"/>
  <c r="N405"/>
  <c r="M405"/>
  <c r="L405"/>
  <c r="P405" s="1"/>
  <c r="O404"/>
  <c r="N404"/>
  <c r="M404"/>
  <c r="L404"/>
  <c r="P404" s="1"/>
  <c r="I47" i="42"/>
  <c r="I43"/>
  <c r="I38"/>
  <c r="I34"/>
  <c r="I29"/>
  <c r="I25"/>
  <c r="K314" i="6"/>
  <c r="L314" s="1"/>
  <c r="P314" s="1"/>
  <c r="K313"/>
  <c r="L313" s="1"/>
  <c r="P313" s="1"/>
  <c r="K312"/>
  <c r="L312" s="1"/>
  <c r="P312" s="1"/>
  <c r="K310"/>
  <c r="L310" s="1"/>
  <c r="K309"/>
  <c r="L309" s="1"/>
  <c r="P309" s="1"/>
  <c r="K307"/>
  <c r="L307" s="1"/>
  <c r="K306"/>
  <c r="L306" s="1"/>
  <c r="K304"/>
  <c r="L304" s="1"/>
  <c r="P304" s="1"/>
  <c r="K295"/>
  <c r="O295" s="1"/>
  <c r="K301"/>
  <c r="L301" s="1"/>
  <c r="P301" s="1"/>
  <c r="K292"/>
  <c r="L292" s="1"/>
  <c r="P292" s="1"/>
  <c r="K289"/>
  <c r="L289" s="1"/>
  <c r="P289" s="1"/>
  <c r="C285"/>
  <c r="O315"/>
  <c r="M315"/>
  <c r="L315"/>
  <c r="P315" s="1"/>
  <c r="O314"/>
  <c r="M314"/>
  <c r="M313"/>
  <c r="M312"/>
  <c r="O311"/>
  <c r="M311"/>
  <c r="L311"/>
  <c r="P311" s="1"/>
  <c r="M309"/>
  <c r="O308"/>
  <c r="M308"/>
  <c r="L308"/>
  <c r="P308" s="1"/>
  <c r="H307"/>
  <c r="M307" s="1"/>
  <c r="H306"/>
  <c r="O305"/>
  <c r="M305"/>
  <c r="L305"/>
  <c r="P305" s="1"/>
  <c r="M304"/>
  <c r="O303"/>
  <c r="M303"/>
  <c r="L303"/>
  <c r="P303" s="1"/>
  <c r="O302"/>
  <c r="M302"/>
  <c r="L302"/>
  <c r="P302" s="1"/>
  <c r="M301"/>
  <c r="O300"/>
  <c r="M300"/>
  <c r="L300"/>
  <c r="P300" s="1"/>
  <c r="O299"/>
  <c r="M299"/>
  <c r="L299"/>
  <c r="P299" s="1"/>
  <c r="O298"/>
  <c r="M298"/>
  <c r="L298"/>
  <c r="P298" s="1"/>
  <c r="O297"/>
  <c r="M297"/>
  <c r="L297"/>
  <c r="P297" s="1"/>
  <c r="O296"/>
  <c r="M296"/>
  <c r="L296"/>
  <c r="P296" s="1"/>
  <c r="M295"/>
  <c r="O294"/>
  <c r="M294"/>
  <c r="L294"/>
  <c r="P294" s="1"/>
  <c r="O293"/>
  <c r="M293"/>
  <c r="L293"/>
  <c r="P293" s="1"/>
  <c r="M292"/>
  <c r="O291"/>
  <c r="M291"/>
  <c r="L291"/>
  <c r="P291" s="1"/>
  <c r="O290"/>
  <c r="M290"/>
  <c r="L290"/>
  <c r="P290" s="1"/>
  <c r="M289"/>
  <c r="O288"/>
  <c r="M288"/>
  <c r="L288"/>
  <c r="P288" s="1"/>
  <c r="O287"/>
  <c r="M287"/>
  <c r="L287"/>
  <c r="P287" s="1"/>
  <c r="O286"/>
  <c r="M286"/>
  <c r="L286"/>
  <c r="P286" s="1"/>
  <c r="O285"/>
  <c r="M285"/>
  <c r="L285"/>
  <c r="P285" s="1"/>
  <c r="I18" i="42"/>
  <c r="I14"/>
  <c r="J60" i="36"/>
  <c r="O301" i="6" l="1"/>
  <c r="O313"/>
  <c r="O309"/>
  <c r="O312"/>
  <c r="O289"/>
  <c r="L295"/>
  <c r="P295" s="1"/>
  <c r="P310"/>
  <c r="O304"/>
  <c r="O292"/>
  <c r="P306"/>
  <c r="O306"/>
  <c r="M306"/>
  <c r="O310"/>
  <c r="O307"/>
  <c r="M310"/>
  <c r="P307"/>
  <c r="J58" i="36"/>
  <c r="J57"/>
  <c r="J55"/>
  <c r="J54"/>
  <c r="J51"/>
  <c r="J48"/>
  <c r="J44"/>
  <c r="J43"/>
  <c r="J39"/>
  <c r="J35"/>
  <c r="J31"/>
  <c r="J26"/>
  <c r="J22"/>
  <c r="J17"/>
  <c r="B51" i="8" l="1"/>
  <c r="I169" i="52"/>
  <c r="C922" i="6"/>
  <c r="C921"/>
  <c r="C920"/>
  <c r="C919"/>
  <c r="C918"/>
  <c r="N922"/>
  <c r="M922"/>
  <c r="N921"/>
  <c r="M921"/>
  <c r="N920"/>
  <c r="M920"/>
  <c r="N919"/>
  <c r="M919"/>
  <c r="K919"/>
  <c r="O919" s="1"/>
  <c r="N918"/>
  <c r="M918"/>
  <c r="C917"/>
  <c r="C916"/>
  <c r="C915"/>
  <c r="C914"/>
  <c r="C913"/>
  <c r="C912"/>
  <c r="N917"/>
  <c r="M917"/>
  <c r="N916"/>
  <c r="M916"/>
  <c r="O916"/>
  <c r="N915"/>
  <c r="M915"/>
  <c r="N914"/>
  <c r="M914"/>
  <c r="N913"/>
  <c r="M913"/>
  <c r="N912"/>
  <c r="M912"/>
  <c r="N911"/>
  <c r="M911"/>
  <c r="C911"/>
  <c r="C910"/>
  <c r="C908"/>
  <c r="C907"/>
  <c r="N910"/>
  <c r="M910"/>
  <c r="K910"/>
  <c r="O910" s="1"/>
  <c r="C909"/>
  <c r="N908"/>
  <c r="M909"/>
  <c r="O907"/>
  <c r="N907"/>
  <c r="M907"/>
  <c r="L907"/>
  <c r="P907" s="1"/>
  <c r="C906"/>
  <c r="C905"/>
  <c r="N906"/>
  <c r="M906"/>
  <c r="N905"/>
  <c r="M905"/>
  <c r="M904"/>
  <c r="C904"/>
  <c r="C903"/>
  <c r="C901"/>
  <c r="O897"/>
  <c r="C897"/>
  <c r="C896"/>
  <c r="C895"/>
  <c r="N897"/>
  <c r="M897"/>
  <c r="N896"/>
  <c r="M896"/>
  <c r="O896"/>
  <c r="N895"/>
  <c r="M895"/>
  <c r="O895"/>
  <c r="C894"/>
  <c r="N894"/>
  <c r="M894"/>
  <c r="L894"/>
  <c r="P894" s="1"/>
  <c r="O894"/>
  <c r="C882"/>
  <c r="C893"/>
  <c r="C892"/>
  <c r="C891"/>
  <c r="N893"/>
  <c r="M893"/>
  <c r="N892"/>
  <c r="M892"/>
  <c r="N891"/>
  <c r="M891"/>
  <c r="C889"/>
  <c r="N889"/>
  <c r="M889"/>
  <c r="K889"/>
  <c r="O889" s="1"/>
  <c r="C888"/>
  <c r="C887"/>
  <c r="N888"/>
  <c r="M888"/>
  <c r="N887"/>
  <c r="M887"/>
  <c r="K887"/>
  <c r="O887" s="1"/>
  <c r="N886"/>
  <c r="M886"/>
  <c r="C886"/>
  <c r="C885"/>
  <c r="N885"/>
  <c r="M885"/>
  <c r="K885"/>
  <c r="O885" s="1"/>
  <c r="C884"/>
  <c r="N884"/>
  <c r="M884"/>
  <c r="C883"/>
  <c r="N883"/>
  <c r="M883"/>
  <c r="N882"/>
  <c r="M882"/>
  <c r="O882"/>
  <c r="C881"/>
  <c r="N881"/>
  <c r="M881"/>
  <c r="N880"/>
  <c r="M880"/>
  <c r="K880"/>
  <c r="O880" s="1"/>
  <c r="C880"/>
  <c r="C879"/>
  <c r="N879"/>
  <c r="M879"/>
  <c r="K879"/>
  <c r="O879" s="1"/>
  <c r="C878"/>
  <c r="N878"/>
  <c r="M878"/>
  <c r="C877"/>
  <c r="N877"/>
  <c r="M877"/>
  <c r="N876"/>
  <c r="M876"/>
  <c r="C876"/>
  <c r="C875"/>
  <c r="N875"/>
  <c r="M875"/>
  <c r="K875"/>
  <c r="O875" s="1"/>
  <c r="C874"/>
  <c r="N874"/>
  <c r="M874"/>
  <c r="C873"/>
  <c r="O873"/>
  <c r="N873"/>
  <c r="M873"/>
  <c r="L873"/>
  <c r="P873" s="1"/>
  <c r="C872"/>
  <c r="N872"/>
  <c r="M872"/>
  <c r="L872"/>
  <c r="P872" s="1"/>
  <c r="O872"/>
  <c r="C871"/>
  <c r="M870"/>
  <c r="C870"/>
  <c r="C869"/>
  <c r="C868"/>
  <c r="C867"/>
  <c r="C866"/>
  <c r="N869"/>
  <c r="M869"/>
  <c r="N868"/>
  <c r="M868"/>
  <c r="O867"/>
  <c r="N867"/>
  <c r="M867"/>
  <c r="L867"/>
  <c r="P867" s="1"/>
  <c r="O866"/>
  <c r="N866"/>
  <c r="M866"/>
  <c r="L866"/>
  <c r="P866" s="1"/>
  <c r="C865"/>
  <c r="C861"/>
  <c r="C860"/>
  <c r="K859"/>
  <c r="O859" s="1"/>
  <c r="C859"/>
  <c r="N859"/>
  <c r="M859"/>
  <c r="L859"/>
  <c r="P859" s="1"/>
  <c r="C858"/>
  <c r="C857"/>
  <c r="M857"/>
  <c r="N857"/>
  <c r="M856"/>
  <c r="C856"/>
  <c r="N861"/>
  <c r="M861"/>
  <c r="O860"/>
  <c r="N860"/>
  <c r="M860"/>
  <c r="L860"/>
  <c r="P860" s="1"/>
  <c r="C855"/>
  <c r="B853"/>
  <c r="K849"/>
  <c r="L849" s="1"/>
  <c r="K847"/>
  <c r="L847" s="1"/>
  <c r="K843"/>
  <c r="K834"/>
  <c r="K826"/>
  <c r="K818"/>
  <c r="I130" i="52"/>
  <c r="I119"/>
  <c r="I116"/>
  <c r="I113"/>
  <c r="I109"/>
  <c r="K886" i="6" s="1"/>
  <c r="O886" s="1"/>
  <c r="I105" i="52"/>
  <c r="K884" i="6" s="1"/>
  <c r="O884" s="1"/>
  <c r="I102" i="52"/>
  <c r="K883" i="6" s="1"/>
  <c r="L883" s="1"/>
  <c r="P883" s="1"/>
  <c r="I98" i="52"/>
  <c r="I94"/>
  <c r="I241"/>
  <c r="I238"/>
  <c r="I235"/>
  <c r="I230"/>
  <c r="I227"/>
  <c r="I224"/>
  <c r="I221"/>
  <c r="I204"/>
  <c r="I200"/>
  <c r="I196"/>
  <c r="I192"/>
  <c r="K914" i="6" s="1"/>
  <c r="O914" s="1"/>
  <c r="I179" i="52"/>
  <c r="I188"/>
  <c r="K913" i="6" s="1"/>
  <c r="O913" s="1"/>
  <c r="I184" i="52"/>
  <c r="K912" i="6" s="1"/>
  <c r="L912" s="1"/>
  <c r="P912" s="1"/>
  <c r="I175" i="52"/>
  <c r="I166"/>
  <c r="I156"/>
  <c r="K905" i="6" s="1"/>
  <c r="L905" s="1"/>
  <c r="P905" s="1"/>
  <c r="I249" i="52"/>
  <c r="K922" i="6" s="1"/>
  <c r="O922" s="1"/>
  <c r="I248" i="52"/>
  <c r="K921" i="6" s="1"/>
  <c r="L921" s="1"/>
  <c r="P921" s="1"/>
  <c r="I247" i="52"/>
  <c r="K920" i="6" s="1"/>
  <c r="L920" s="1"/>
  <c r="P920" s="1"/>
  <c r="I161" i="52"/>
  <c r="K906" i="6" s="1"/>
  <c r="I152" i="52"/>
  <c r="K904" i="6" s="1"/>
  <c r="L904" s="1"/>
  <c r="I125" i="52"/>
  <c r="K893" i="6" s="1"/>
  <c r="O893" s="1"/>
  <c r="I124" i="52"/>
  <c r="K892" i="6" s="1"/>
  <c r="O892" s="1"/>
  <c r="I123" i="52"/>
  <c r="K891" i="6" s="1"/>
  <c r="O891" s="1"/>
  <c r="I90" i="52"/>
  <c r="K881" i="6" s="1"/>
  <c r="O881" s="1"/>
  <c r="I84" i="52"/>
  <c r="K878" i="6" s="1"/>
  <c r="O878" s="1"/>
  <c r="I81" i="52"/>
  <c r="K877" i="6" s="1"/>
  <c r="L877" s="1"/>
  <c r="P877" s="1"/>
  <c r="I77" i="52"/>
  <c r="K876" i="6" s="1"/>
  <c r="L876" s="1"/>
  <c r="P876" s="1"/>
  <c r="I56" i="52"/>
  <c r="I53"/>
  <c r="I50"/>
  <c r="I43"/>
  <c r="K870" i="6" s="1"/>
  <c r="O870" s="1"/>
  <c r="P870" s="1"/>
  <c r="I39" i="52"/>
  <c r="K869" i="6" s="1"/>
  <c r="O869" s="1"/>
  <c r="I36" i="52"/>
  <c r="K868" i="6" s="1"/>
  <c r="L868" s="1"/>
  <c r="P868" s="1"/>
  <c r="I28" i="52"/>
  <c r="K861" i="6" s="1"/>
  <c r="L861" s="1"/>
  <c r="P861" s="1"/>
  <c r="I21" i="52"/>
  <c r="K857" i="6" s="1"/>
  <c r="L857" s="1"/>
  <c r="P857" s="1"/>
  <c r="I17" i="52"/>
  <c r="K856" i="6" s="1"/>
  <c r="L856" s="1"/>
  <c r="J112" i="47"/>
  <c r="J178"/>
  <c r="J165"/>
  <c r="J164"/>
  <c r="H166" s="1"/>
  <c r="J166" s="1"/>
  <c r="J161"/>
  <c r="J159"/>
  <c r="J157"/>
  <c r="J153"/>
  <c r="J149"/>
  <c r="J147"/>
  <c r="J145"/>
  <c r="N849" i="6"/>
  <c r="N847"/>
  <c r="N250"/>
  <c r="L169"/>
  <c r="N169"/>
  <c r="L141"/>
  <c r="N141"/>
  <c r="H86" i="15"/>
  <c r="L906" i="6" l="1"/>
  <c r="P906" s="1"/>
  <c r="O906"/>
  <c r="I170" i="52"/>
  <c r="K909" i="6" s="1"/>
  <c r="O909" s="1"/>
  <c r="M899"/>
  <c r="M923"/>
  <c r="L916"/>
  <c r="P916" s="1"/>
  <c r="O920"/>
  <c r="O921"/>
  <c r="L922"/>
  <c r="P922" s="1"/>
  <c r="L919"/>
  <c r="P919" s="1"/>
  <c r="O904"/>
  <c r="L914"/>
  <c r="P914" s="1"/>
  <c r="L913"/>
  <c r="P913" s="1"/>
  <c r="L910"/>
  <c r="P910" s="1"/>
  <c r="O912"/>
  <c r="O905"/>
  <c r="L895"/>
  <c r="P895" s="1"/>
  <c r="M863"/>
  <c r="L897"/>
  <c r="P897" s="1"/>
  <c r="L891"/>
  <c r="P891" s="1"/>
  <c r="L892"/>
  <c r="P892" s="1"/>
  <c r="L893"/>
  <c r="P893" s="1"/>
  <c r="L896"/>
  <c r="P896" s="1"/>
  <c r="O876"/>
  <c r="L887"/>
  <c r="P887" s="1"/>
  <c r="L889"/>
  <c r="P889" s="1"/>
  <c r="L885"/>
  <c r="P885" s="1"/>
  <c r="L886"/>
  <c r="P886" s="1"/>
  <c r="L879"/>
  <c r="P879" s="1"/>
  <c r="L884"/>
  <c r="P884" s="1"/>
  <c r="O883"/>
  <c r="L875"/>
  <c r="P875" s="1"/>
  <c r="L882"/>
  <c r="P882" s="1"/>
  <c r="L881"/>
  <c r="P881" s="1"/>
  <c r="L880"/>
  <c r="P880" s="1"/>
  <c r="L878"/>
  <c r="P878" s="1"/>
  <c r="O877"/>
  <c r="O868"/>
  <c r="L869"/>
  <c r="P869" s="1"/>
  <c r="O856"/>
  <c r="O857"/>
  <c r="O861"/>
  <c r="O849"/>
  <c r="P849" s="1"/>
  <c r="O847"/>
  <c r="P847" s="1"/>
  <c r="I120" i="52"/>
  <c r="K888" i="6" s="1"/>
  <c r="L888" s="1"/>
  <c r="P888" s="1"/>
  <c r="I243" i="52"/>
  <c r="K918" i="6" s="1"/>
  <c r="O918" s="1"/>
  <c r="I232" i="52"/>
  <c r="K917" i="6" s="1"/>
  <c r="O917" s="1"/>
  <c r="I99" i="52"/>
  <c r="I206"/>
  <c r="K915" i="6" s="1"/>
  <c r="L915" s="1"/>
  <c r="P915" s="1"/>
  <c r="I180" i="52"/>
  <c r="K911" i="6" s="1"/>
  <c r="O911" s="1"/>
  <c r="I57" i="52"/>
  <c r="K874" i="6" s="1"/>
  <c r="L874" s="1"/>
  <c r="P874" s="1"/>
  <c r="H83" i="15"/>
  <c r="H82"/>
  <c r="H81"/>
  <c r="F83"/>
  <c r="H80"/>
  <c r="H79"/>
  <c r="H78"/>
  <c r="F80"/>
  <c r="H74"/>
  <c r="H73"/>
  <c r="H69"/>
  <c r="H68"/>
  <c r="H67"/>
  <c r="O874" i="6" l="1"/>
  <c r="O915"/>
  <c r="O888"/>
  <c r="L909"/>
  <c r="P909" s="1"/>
  <c r="L918"/>
  <c r="P918" s="1"/>
  <c r="L917"/>
  <c r="P917" s="1"/>
  <c r="L911"/>
  <c r="P911" s="1"/>
  <c r="M925"/>
  <c r="J51" i="8" s="1"/>
  <c r="P904" i="6"/>
  <c r="O923"/>
  <c r="O899"/>
  <c r="P899" s="1"/>
  <c r="P856"/>
  <c r="P863" s="1"/>
  <c r="O863"/>
  <c r="O925" s="1"/>
  <c r="P925" s="1"/>
  <c r="J50" i="8"/>
  <c r="P923" i="6" l="1"/>
  <c r="K51" i="8"/>
  <c r="I50"/>
  <c r="L851" i="6" l="1"/>
  <c r="O851" s="1"/>
  <c r="P851" s="1"/>
  <c r="M851"/>
  <c r="M849"/>
  <c r="M848"/>
  <c r="L848"/>
  <c r="O848" s="1"/>
  <c r="P848" s="1"/>
  <c r="M847"/>
  <c r="O843"/>
  <c r="N843"/>
  <c r="M843"/>
  <c r="L843"/>
  <c r="P843" s="1"/>
  <c r="P842"/>
  <c r="P841"/>
  <c r="P840"/>
  <c r="J108" i="47"/>
  <c r="G62" i="8"/>
  <c r="L537" i="6"/>
  <c r="P852" l="1"/>
  <c r="K50" i="8" s="1"/>
  <c r="H96" i="47"/>
  <c r="J96" s="1"/>
  <c r="H70" i="27" l="1"/>
  <c r="M169" i="6"/>
  <c r="H76" i="27" l="1"/>
  <c r="H75"/>
  <c r="H65"/>
  <c r="H66" s="1"/>
  <c r="H61"/>
  <c r="H58"/>
  <c r="H54"/>
  <c r="H51"/>
  <c r="H48"/>
  <c r="H45"/>
  <c r="H41"/>
  <c r="H36"/>
  <c r="H32"/>
  <c r="H27"/>
  <c r="H23"/>
  <c r="H19"/>
  <c r="H15"/>
  <c r="H37" l="1"/>
  <c r="H55"/>
  <c r="H56" s="1"/>
  <c r="H28"/>
  <c r="H77"/>
  <c r="H62"/>
  <c r="J114" i="16"/>
  <c r="J115" s="1"/>
  <c r="J111"/>
  <c r="J104"/>
  <c r="J101"/>
  <c r="J98"/>
  <c r="J95"/>
  <c r="J87"/>
  <c r="J82"/>
  <c r="J78"/>
  <c r="J73"/>
  <c r="J69"/>
  <c r="J65"/>
  <c r="J108"/>
  <c r="J92"/>
  <c r="J61"/>
  <c r="J91" i="47"/>
  <c r="J89"/>
  <c r="J87"/>
  <c r="J83"/>
  <c r="J79"/>
  <c r="J77"/>
  <c r="J75"/>
  <c r="I72" i="45"/>
  <c r="I70"/>
  <c r="K27" i="8"/>
  <c r="O169" i="6" l="1"/>
  <c r="P169" s="1"/>
  <c r="J83" i="16"/>
  <c r="J105"/>
  <c r="O141" i="6" s="1"/>
  <c r="P141" s="1"/>
  <c r="J74" i="16"/>
  <c r="H47" i="15"/>
  <c r="H46"/>
  <c r="J29" i="16"/>
  <c r="J27"/>
  <c r="J48" i="47"/>
  <c r="O838" i="6" s="1"/>
  <c r="M21"/>
  <c r="J27" i="47"/>
  <c r="J29"/>
  <c r="J31"/>
  <c r="J15"/>
  <c r="J17"/>
  <c r="J19"/>
  <c r="J23"/>
  <c r="J36"/>
  <c r="J37" s="1"/>
  <c r="J38" s="1"/>
  <c r="J44"/>
  <c r="J46" s="1"/>
  <c r="K66" i="6"/>
  <c r="I18" i="51"/>
  <c r="N838" i="6"/>
  <c r="M838"/>
  <c r="N207"/>
  <c r="O144"/>
  <c r="J23" i="16"/>
  <c r="N144" i="6"/>
  <c r="H36" i="15"/>
  <c r="H37" s="1"/>
  <c r="H33"/>
  <c r="A32"/>
  <c r="H21"/>
  <c r="H17"/>
  <c r="A19"/>
  <c r="A15"/>
  <c r="H13"/>
  <c r="N212" i="6"/>
  <c r="M207"/>
  <c r="P207"/>
  <c r="O27"/>
  <c r="J12" i="36"/>
  <c r="A47" i="15"/>
  <c r="A46"/>
  <c r="H43"/>
  <c r="A42"/>
  <c r="H40"/>
  <c r="O207" i="6" s="1"/>
  <c r="A39" i="15"/>
  <c r="H30"/>
  <c r="A29"/>
  <c r="H25"/>
  <c r="A10"/>
  <c r="J20" i="16"/>
  <c r="K16" i="15" l="1"/>
  <c r="L838" i="6"/>
  <c r="P838" s="1"/>
  <c r="I13" i="51"/>
  <c r="I15" s="1"/>
  <c r="N837" i="6"/>
  <c r="N836"/>
  <c r="N834"/>
  <c r="M837"/>
  <c r="M836"/>
  <c r="L834"/>
  <c r="P834" s="1"/>
  <c r="J632" l="1"/>
  <c r="J1203"/>
  <c r="J1201"/>
  <c r="J1200"/>
  <c r="J1011"/>
  <c r="J814"/>
  <c r="L776"/>
  <c r="P776" s="1"/>
  <c r="J744"/>
  <c r="J358"/>
  <c r="J210"/>
  <c r="J166"/>
  <c r="J147"/>
  <c r="J811"/>
  <c r="J41" i="19"/>
  <c r="J43"/>
  <c r="J44"/>
  <c r="O776" i="6" s="1"/>
  <c r="J34" i="19"/>
  <c r="J31"/>
  <c r="J17"/>
  <c r="J19"/>
  <c r="J21"/>
  <c r="J23"/>
  <c r="J25"/>
  <c r="J15"/>
  <c r="J13"/>
  <c r="J11"/>
  <c r="O213" i="6"/>
  <c r="O205"/>
  <c r="L837" l="1"/>
  <c r="P837" s="1"/>
  <c r="O837"/>
  <c r="O836"/>
  <c r="L836"/>
  <c r="P836" s="1"/>
  <c r="J26" i="19"/>
  <c r="J11" i="49" l="1"/>
  <c r="J20" i="46"/>
  <c r="P119" i="50"/>
  <c r="O119"/>
  <c r="N119"/>
  <c r="M119"/>
  <c r="K119"/>
  <c r="J119"/>
  <c r="I119"/>
  <c r="P118"/>
  <c r="O118"/>
  <c r="N118"/>
  <c r="M118"/>
  <c r="K118"/>
  <c r="J118"/>
  <c r="I118"/>
  <c r="P117"/>
  <c r="O117"/>
  <c r="N117"/>
  <c r="M117"/>
  <c r="K117"/>
  <c r="J117"/>
  <c r="I117"/>
  <c r="P116"/>
  <c r="O116"/>
  <c r="N116"/>
  <c r="M116"/>
  <c r="K116"/>
  <c r="J116"/>
  <c r="I116"/>
  <c r="P115"/>
  <c r="O115"/>
  <c r="N115"/>
  <c r="M115"/>
  <c r="K115"/>
  <c r="J115"/>
  <c r="I115"/>
  <c r="P114"/>
  <c r="O114"/>
  <c r="N114"/>
  <c r="M114"/>
  <c r="K114"/>
  <c r="J114"/>
  <c r="I114"/>
  <c r="P113"/>
  <c r="O113"/>
  <c r="N113"/>
  <c r="M113"/>
  <c r="K113"/>
  <c r="J113"/>
  <c r="I113"/>
  <c r="P112"/>
  <c r="O112"/>
  <c r="N112"/>
  <c r="M112"/>
  <c r="K112"/>
  <c r="J112"/>
  <c r="I112"/>
  <c r="P111"/>
  <c r="O111"/>
  <c r="N111"/>
  <c r="M111"/>
  <c r="K111"/>
  <c r="J111"/>
  <c r="I111"/>
  <c r="P110"/>
  <c r="O110"/>
  <c r="N110"/>
  <c r="M110"/>
  <c r="K110"/>
  <c r="J110"/>
  <c r="I110"/>
  <c r="P109"/>
  <c r="O109"/>
  <c r="N109"/>
  <c r="M109"/>
  <c r="K109"/>
  <c r="J109"/>
  <c r="I109"/>
  <c r="P108"/>
  <c r="O108"/>
  <c r="N108"/>
  <c r="M108"/>
  <c r="K108"/>
  <c r="J108"/>
  <c r="I108"/>
  <c r="P107"/>
  <c r="O107"/>
  <c r="N107"/>
  <c r="M107"/>
  <c r="K107"/>
  <c r="J107"/>
  <c r="I107"/>
  <c r="P106"/>
  <c r="O106"/>
  <c r="N106"/>
  <c r="M106"/>
  <c r="L106"/>
  <c r="K106"/>
  <c r="J106"/>
  <c r="I106"/>
  <c r="P105"/>
  <c r="O105"/>
  <c r="N105"/>
  <c r="M105"/>
  <c r="L105"/>
  <c r="K105"/>
  <c r="J105"/>
  <c r="I105"/>
  <c r="P104"/>
  <c r="O104"/>
  <c r="N104"/>
  <c r="M104"/>
  <c r="L104"/>
  <c r="K104"/>
  <c r="J104"/>
  <c r="I104"/>
  <c r="P103"/>
  <c r="O103"/>
  <c r="N103"/>
  <c r="M103"/>
  <c r="L103"/>
  <c r="K103"/>
  <c r="J103"/>
  <c r="I103"/>
  <c r="P102"/>
  <c r="O102"/>
  <c r="N102"/>
  <c r="M102"/>
  <c r="L102"/>
  <c r="K102"/>
  <c r="J102"/>
  <c r="I102"/>
  <c r="P101"/>
  <c r="O101"/>
  <c r="N101"/>
  <c r="M101"/>
  <c r="L101"/>
  <c r="K101"/>
  <c r="J101"/>
  <c r="I101"/>
  <c r="P100"/>
  <c r="O100"/>
  <c r="N100"/>
  <c r="M100"/>
  <c r="L100"/>
  <c r="K100"/>
  <c r="J100"/>
  <c r="I100"/>
  <c r="P99"/>
  <c r="O99"/>
  <c r="N99"/>
  <c r="M99"/>
  <c r="L99"/>
  <c r="K99"/>
  <c r="J99"/>
  <c r="I99"/>
  <c r="P98"/>
  <c r="O98"/>
  <c r="N98"/>
  <c r="M98"/>
  <c r="L98"/>
  <c r="K98"/>
  <c r="J98"/>
  <c r="I98"/>
  <c r="P97"/>
  <c r="O97"/>
  <c r="N97"/>
  <c r="M97"/>
  <c r="L97"/>
  <c r="K97"/>
  <c r="J97"/>
  <c r="I97"/>
  <c r="P96"/>
  <c r="O96"/>
  <c r="N96"/>
  <c r="M96"/>
  <c r="L96"/>
  <c r="K96"/>
  <c r="J96"/>
  <c r="I96"/>
  <c r="P95"/>
  <c r="O95"/>
  <c r="N95"/>
  <c r="M95"/>
  <c r="L95"/>
  <c r="K95"/>
  <c r="J95"/>
  <c r="I95"/>
  <c r="P94"/>
  <c r="O94"/>
  <c r="N94"/>
  <c r="M94"/>
  <c r="L94"/>
  <c r="K94"/>
  <c r="J94"/>
  <c r="I94"/>
  <c r="P93"/>
  <c r="O93"/>
  <c r="N93"/>
  <c r="M93"/>
  <c r="L93"/>
  <c r="L120" s="1"/>
  <c r="L122" s="1"/>
  <c r="K93"/>
  <c r="J93"/>
  <c r="I93"/>
  <c r="K84"/>
  <c r="P86"/>
  <c r="O86"/>
  <c r="N86"/>
  <c r="M86"/>
  <c r="L86"/>
  <c r="K86"/>
  <c r="J86"/>
  <c r="I86"/>
  <c r="P85"/>
  <c r="O85"/>
  <c r="N85"/>
  <c r="M85"/>
  <c r="L85"/>
  <c r="K85"/>
  <c r="J85"/>
  <c r="I85"/>
  <c r="P84"/>
  <c r="O84"/>
  <c r="N84"/>
  <c r="M84"/>
  <c r="L84"/>
  <c r="J84"/>
  <c r="I84"/>
  <c r="P83"/>
  <c r="O83"/>
  <c r="N83"/>
  <c r="M83"/>
  <c r="L83"/>
  <c r="K83"/>
  <c r="J83"/>
  <c r="I83"/>
  <c r="I120" l="1"/>
  <c r="I122" s="1"/>
  <c r="M120"/>
  <c r="M122" s="1"/>
  <c r="O87"/>
  <c r="O89" s="1"/>
  <c r="K120"/>
  <c r="K122" s="1"/>
  <c r="O120"/>
  <c r="O122" s="1"/>
  <c r="P120"/>
  <c r="P122" s="1"/>
  <c r="J87"/>
  <c r="J89" s="1"/>
  <c r="N87"/>
  <c r="N89" s="1"/>
  <c r="N120"/>
  <c r="N122" s="1"/>
  <c r="J120"/>
  <c r="J122" s="1"/>
  <c r="I87"/>
  <c r="I89" s="1"/>
  <c r="L87"/>
  <c r="L89" s="1"/>
  <c r="P87"/>
  <c r="P89" s="1"/>
  <c r="K87"/>
  <c r="K89" s="1"/>
  <c r="M87"/>
  <c r="M89" s="1"/>
  <c r="I9"/>
  <c r="J9"/>
  <c r="K9"/>
  <c r="L9"/>
  <c r="M9"/>
  <c r="N9"/>
  <c r="O9"/>
  <c r="P9"/>
  <c r="I10"/>
  <c r="J10"/>
  <c r="K10"/>
  <c r="L10"/>
  <c r="M10"/>
  <c r="N10"/>
  <c r="O10"/>
  <c r="P10"/>
  <c r="I11"/>
  <c r="J11"/>
  <c r="K11"/>
  <c r="L11"/>
  <c r="M11"/>
  <c r="N11"/>
  <c r="O11"/>
  <c r="P11"/>
  <c r="I12"/>
  <c r="J12"/>
  <c r="K12"/>
  <c r="L12"/>
  <c r="M12"/>
  <c r="N12"/>
  <c r="O12"/>
  <c r="P12"/>
  <c r="I13"/>
  <c r="J13"/>
  <c r="K13"/>
  <c r="L13"/>
  <c r="M13"/>
  <c r="N13"/>
  <c r="O13"/>
  <c r="P13"/>
  <c r="I14"/>
  <c r="J14"/>
  <c r="K14"/>
  <c r="L14"/>
  <c r="M14"/>
  <c r="N14"/>
  <c r="O14"/>
  <c r="P14"/>
  <c r="I15"/>
  <c r="J15"/>
  <c r="K15"/>
  <c r="L15"/>
  <c r="M15"/>
  <c r="N15"/>
  <c r="O15"/>
  <c r="P15"/>
  <c r="I16"/>
  <c r="J16"/>
  <c r="K16"/>
  <c r="L16"/>
  <c r="M16"/>
  <c r="N16"/>
  <c r="O16"/>
  <c r="P16"/>
  <c r="I17"/>
  <c r="J17"/>
  <c r="K17"/>
  <c r="L17"/>
  <c r="M17"/>
  <c r="N17"/>
  <c r="O17"/>
  <c r="P17"/>
  <c r="I18"/>
  <c r="J18"/>
  <c r="K18"/>
  <c r="L18"/>
  <c r="M18"/>
  <c r="N18"/>
  <c r="O18"/>
  <c r="P18"/>
  <c r="I19"/>
  <c r="J19"/>
  <c r="K19"/>
  <c r="L19"/>
  <c r="M19"/>
  <c r="N19"/>
  <c r="O19"/>
  <c r="P19"/>
  <c r="I20"/>
  <c r="J20"/>
  <c r="K20"/>
  <c r="L20"/>
  <c r="M20"/>
  <c r="N20"/>
  <c r="O20"/>
  <c r="P20"/>
  <c r="I21"/>
  <c r="J21"/>
  <c r="K21"/>
  <c r="L21"/>
  <c r="M21"/>
  <c r="N21"/>
  <c r="O21"/>
  <c r="P21"/>
  <c r="I22"/>
  <c r="J22"/>
  <c r="K22"/>
  <c r="L22"/>
  <c r="M22"/>
  <c r="N22"/>
  <c r="O22"/>
  <c r="P22"/>
  <c r="I23"/>
  <c r="J23"/>
  <c r="K23"/>
  <c r="L23"/>
  <c r="M23"/>
  <c r="N23"/>
  <c r="O23"/>
  <c r="P23"/>
  <c r="I24"/>
  <c r="I26" s="1"/>
  <c r="J24"/>
  <c r="J26" s="1"/>
  <c r="I30"/>
  <c r="J30"/>
  <c r="K30"/>
  <c r="L30"/>
  <c r="M30"/>
  <c r="N30"/>
  <c r="O30"/>
  <c r="P30"/>
  <c r="I31"/>
  <c r="J31"/>
  <c r="K31"/>
  <c r="L31"/>
  <c r="M31"/>
  <c r="N31"/>
  <c r="O31"/>
  <c r="P31"/>
  <c r="I32"/>
  <c r="J32"/>
  <c r="K32"/>
  <c r="L32"/>
  <c r="M32"/>
  <c r="N32"/>
  <c r="O32"/>
  <c r="P32"/>
  <c r="I33"/>
  <c r="J33"/>
  <c r="K33"/>
  <c r="L33"/>
  <c r="M33"/>
  <c r="N33"/>
  <c r="O33"/>
  <c r="P33"/>
  <c r="I34"/>
  <c r="J34"/>
  <c r="K34"/>
  <c r="L34"/>
  <c r="M34"/>
  <c r="N34"/>
  <c r="O34"/>
  <c r="P34"/>
  <c r="I35"/>
  <c r="J35"/>
  <c r="K35"/>
  <c r="L35"/>
  <c r="M35"/>
  <c r="N35"/>
  <c r="O35"/>
  <c r="P35"/>
  <c r="I36"/>
  <c r="J36"/>
  <c r="K36"/>
  <c r="L36"/>
  <c r="M36"/>
  <c r="N36"/>
  <c r="O36"/>
  <c r="P36"/>
  <c r="I37"/>
  <c r="J37"/>
  <c r="K37"/>
  <c r="L37"/>
  <c r="M37"/>
  <c r="N37"/>
  <c r="O37"/>
  <c r="P37"/>
  <c r="I38"/>
  <c r="J38"/>
  <c r="K38"/>
  <c r="L38"/>
  <c r="M38"/>
  <c r="N38"/>
  <c r="O38"/>
  <c r="P38"/>
  <c r="I39"/>
  <c r="J39"/>
  <c r="K39"/>
  <c r="L39"/>
  <c r="M39"/>
  <c r="N39"/>
  <c r="O39"/>
  <c r="P39"/>
  <c r="I40"/>
  <c r="J40"/>
  <c r="K40"/>
  <c r="L40"/>
  <c r="M40"/>
  <c r="N40"/>
  <c r="O40"/>
  <c r="P40"/>
  <c r="I41"/>
  <c r="J41"/>
  <c r="K41"/>
  <c r="L41"/>
  <c r="M41"/>
  <c r="N41"/>
  <c r="O41"/>
  <c r="P41"/>
  <c r="I42"/>
  <c r="J42"/>
  <c r="K42"/>
  <c r="L42"/>
  <c r="M42"/>
  <c r="N42"/>
  <c r="O42"/>
  <c r="P42"/>
  <c r="I43"/>
  <c r="J43"/>
  <c r="K43"/>
  <c r="L43"/>
  <c r="M43"/>
  <c r="N43"/>
  <c r="O43"/>
  <c r="P43"/>
  <c r="I44"/>
  <c r="J44"/>
  <c r="K44"/>
  <c r="L44"/>
  <c r="M44"/>
  <c r="N44"/>
  <c r="O44"/>
  <c r="P44"/>
  <c r="I45"/>
  <c r="J45"/>
  <c r="K45"/>
  <c r="L45"/>
  <c r="M45"/>
  <c r="N45"/>
  <c r="O45"/>
  <c r="P45"/>
  <c r="I46"/>
  <c r="J46"/>
  <c r="K46"/>
  <c r="L46"/>
  <c r="M46"/>
  <c r="N46"/>
  <c r="O46"/>
  <c r="P46"/>
  <c r="I47"/>
  <c r="J47"/>
  <c r="K47"/>
  <c r="L47"/>
  <c r="M47"/>
  <c r="N47"/>
  <c r="O47"/>
  <c r="P47"/>
  <c r="I48"/>
  <c r="J48"/>
  <c r="K48"/>
  <c r="L48"/>
  <c r="M48"/>
  <c r="N48"/>
  <c r="O48"/>
  <c r="P48"/>
  <c r="I49"/>
  <c r="J49"/>
  <c r="K49"/>
  <c r="L49"/>
  <c r="M49"/>
  <c r="N49"/>
  <c r="O49"/>
  <c r="P49"/>
  <c r="I50"/>
  <c r="J50"/>
  <c r="K50"/>
  <c r="L50"/>
  <c r="M50"/>
  <c r="N50"/>
  <c r="O50"/>
  <c r="P50"/>
  <c r="I51"/>
  <c r="J51"/>
  <c r="K51"/>
  <c r="L51"/>
  <c r="M51"/>
  <c r="N51"/>
  <c r="O51"/>
  <c r="P51"/>
  <c r="I52"/>
  <c r="J52"/>
  <c r="K52"/>
  <c r="L52"/>
  <c r="M52"/>
  <c r="N52"/>
  <c r="O52"/>
  <c r="P52"/>
  <c r="I53"/>
  <c r="J53"/>
  <c r="K53"/>
  <c r="L53"/>
  <c r="M53"/>
  <c r="N53"/>
  <c r="O53"/>
  <c r="P53"/>
  <c r="I54"/>
  <c r="J54"/>
  <c r="K54"/>
  <c r="L54"/>
  <c r="M54"/>
  <c r="N54"/>
  <c r="O54"/>
  <c r="P54"/>
  <c r="I55"/>
  <c r="J55"/>
  <c r="K55"/>
  <c r="K56" s="1"/>
  <c r="K58" s="1"/>
  <c r="L55"/>
  <c r="M55"/>
  <c r="N55"/>
  <c r="O55"/>
  <c r="P55"/>
  <c r="I56"/>
  <c r="I58" s="1"/>
  <c r="I67"/>
  <c r="J67"/>
  <c r="K67"/>
  <c r="L67"/>
  <c r="M67"/>
  <c r="N67"/>
  <c r="O67"/>
  <c r="P67"/>
  <c r="I68"/>
  <c r="J68"/>
  <c r="K68"/>
  <c r="L68"/>
  <c r="M68"/>
  <c r="N68"/>
  <c r="O68"/>
  <c r="P68"/>
  <c r="I69"/>
  <c r="J69"/>
  <c r="K69"/>
  <c r="L69"/>
  <c r="M69"/>
  <c r="N69"/>
  <c r="O69"/>
  <c r="P69"/>
  <c r="I70"/>
  <c r="J70"/>
  <c r="K70"/>
  <c r="L70"/>
  <c r="M70"/>
  <c r="N70"/>
  <c r="O70"/>
  <c r="P70"/>
  <c r="I71"/>
  <c r="J71"/>
  <c r="K71"/>
  <c r="L71"/>
  <c r="M71"/>
  <c r="N71"/>
  <c r="O71"/>
  <c r="P71"/>
  <c r="M74"/>
  <c r="M76" s="1"/>
  <c r="I74" l="1"/>
  <c r="I76" s="1"/>
  <c r="L74"/>
  <c r="L76" s="1"/>
  <c r="O210" i="6" s="1"/>
  <c r="K74" i="50"/>
  <c r="K76" s="1"/>
  <c r="J74"/>
  <c r="J76" s="1"/>
  <c r="L56"/>
  <c r="L58" s="1"/>
  <c r="J56"/>
  <c r="J58" s="1"/>
  <c r="M56"/>
  <c r="M58" s="1"/>
  <c r="N56"/>
  <c r="N58" s="1"/>
  <c r="P56"/>
  <c r="P58" s="1"/>
  <c r="O56"/>
  <c r="O58" s="1"/>
  <c r="N74"/>
  <c r="N76" s="1"/>
  <c r="P74"/>
  <c r="P76" s="1"/>
  <c r="O74"/>
  <c r="O76" s="1"/>
  <c r="K24"/>
  <c r="K26" s="1"/>
  <c r="L24"/>
  <c r="L26" s="1"/>
  <c r="M24"/>
  <c r="M26" s="1"/>
  <c r="P24"/>
  <c r="P26" s="1"/>
  <c r="O24"/>
  <c r="O26" s="1"/>
  <c r="N24"/>
  <c r="N26" s="1"/>
  <c r="J34" i="16"/>
  <c r="J35"/>
  <c r="J14"/>
  <c r="J775" i="6"/>
  <c r="J774"/>
  <c r="J773"/>
  <c r="J1211"/>
  <c r="J784"/>
  <c r="J721"/>
  <c r="J719"/>
  <c r="J620"/>
  <c r="J618"/>
  <c r="J616"/>
  <c r="J615"/>
  <c r="J613"/>
  <c r="J609"/>
  <c r="J606"/>
  <c r="J600"/>
  <c r="J597"/>
  <c r="J594"/>
  <c r="J581"/>
  <c r="J574"/>
  <c r="J573"/>
  <c r="J569"/>
  <c r="J568"/>
  <c r="J564"/>
  <c r="J563"/>
  <c r="J559"/>
  <c r="J555"/>
  <c r="J530"/>
  <c r="J516"/>
  <c r="J509"/>
  <c r="J508"/>
  <c r="J504"/>
  <c r="J503"/>
  <c r="J499"/>
  <c r="J498"/>
  <c r="J494"/>
  <c r="J489"/>
  <c r="J465"/>
  <c r="J452"/>
  <c r="J439"/>
  <c r="J440"/>
  <c r="J435"/>
  <c r="J434"/>
  <c r="J430"/>
  <c r="J425"/>
  <c r="J412"/>
  <c r="J400"/>
  <c r="J395"/>
  <c r="J394"/>
  <c r="J391"/>
  <c r="J390"/>
  <c r="J387"/>
  <c r="J386"/>
  <c r="J382"/>
  <c r="J378"/>
  <c r="J370"/>
  <c r="J338"/>
  <c r="J337"/>
  <c r="J36" i="16" l="1"/>
  <c r="I18" i="45"/>
  <c r="O1041" i="6" s="1"/>
  <c r="O1039"/>
  <c r="L1040"/>
  <c r="P1040" s="1"/>
  <c r="M1040"/>
  <c r="N1040"/>
  <c r="O1040"/>
  <c r="M1041"/>
  <c r="N1041"/>
  <c r="L1042"/>
  <c r="P1042" s="1"/>
  <c r="M1042"/>
  <c r="N1042"/>
  <c r="O1042"/>
  <c r="L1043"/>
  <c r="P1043" s="1"/>
  <c r="M1043"/>
  <c r="N1043"/>
  <c r="O1043"/>
  <c r="L1044"/>
  <c r="P1044" s="1"/>
  <c r="M1044"/>
  <c r="N1044"/>
  <c r="O1044"/>
  <c r="L1045"/>
  <c r="P1045" s="1"/>
  <c r="M1045"/>
  <c r="N1045"/>
  <c r="O1045"/>
  <c r="L1046"/>
  <c r="P1046" s="1"/>
  <c r="M1046"/>
  <c r="N1046"/>
  <c r="O1046"/>
  <c r="M1047"/>
  <c r="N1047"/>
  <c r="N1039"/>
  <c r="M1039"/>
  <c r="L1039"/>
  <c r="P1039" s="1"/>
  <c r="O1262"/>
  <c r="L1259"/>
  <c r="P1259" s="1"/>
  <c r="L1256"/>
  <c r="P1256" s="1"/>
  <c r="L1255"/>
  <c r="P1255" s="1"/>
  <c r="O1253"/>
  <c r="L1251"/>
  <c r="P1251" s="1"/>
  <c r="O1249"/>
  <c r="L1248"/>
  <c r="P1248" s="1"/>
  <c r="L1247"/>
  <c r="P1247" s="1"/>
  <c r="L1246"/>
  <c r="P1246" s="1"/>
  <c r="L1245"/>
  <c r="P1245" s="1"/>
  <c r="L1243"/>
  <c r="P1243" s="1"/>
  <c r="M1243"/>
  <c r="N1243"/>
  <c r="O1243"/>
  <c r="L1244"/>
  <c r="P1244" s="1"/>
  <c r="M1244"/>
  <c r="N1244"/>
  <c r="O1244"/>
  <c r="M1245"/>
  <c r="N1245"/>
  <c r="M1246"/>
  <c r="N1246"/>
  <c r="O1246"/>
  <c r="M1247"/>
  <c r="N1247"/>
  <c r="O1247"/>
  <c r="M1248"/>
  <c r="N1248"/>
  <c r="O1248"/>
  <c r="M1249"/>
  <c r="N1249"/>
  <c r="L1250"/>
  <c r="P1250" s="1"/>
  <c r="M1250"/>
  <c r="N1250"/>
  <c r="O1250"/>
  <c r="M1251"/>
  <c r="N1251"/>
  <c r="O1251"/>
  <c r="L1252"/>
  <c r="P1252" s="1"/>
  <c r="M1252"/>
  <c r="N1252"/>
  <c r="O1252"/>
  <c r="M1253"/>
  <c r="N1253"/>
  <c r="L1254"/>
  <c r="P1254" s="1"/>
  <c r="M1254"/>
  <c r="N1254"/>
  <c r="O1254"/>
  <c r="M1255"/>
  <c r="N1255"/>
  <c r="O1255"/>
  <c r="M1256"/>
  <c r="N1256"/>
  <c r="L1258"/>
  <c r="P1258" s="1"/>
  <c r="M1258"/>
  <c r="N1258"/>
  <c r="O1258"/>
  <c r="M1259"/>
  <c r="N1259"/>
  <c r="O1259"/>
  <c r="L1260"/>
  <c r="P1260" s="1"/>
  <c r="M1260"/>
  <c r="N1260"/>
  <c r="O1260"/>
  <c r="L1261"/>
  <c r="P1261" s="1"/>
  <c r="M1261"/>
  <c r="N1261"/>
  <c r="O1261"/>
  <c r="L1262"/>
  <c r="P1262" s="1"/>
  <c r="M1262"/>
  <c r="N1262"/>
  <c r="L1263"/>
  <c r="P1263" s="1"/>
  <c r="M1263"/>
  <c r="N1263"/>
  <c r="O1263"/>
  <c r="L1264"/>
  <c r="P1264" s="1"/>
  <c r="M1264"/>
  <c r="N1264"/>
  <c r="O1264"/>
  <c r="L1265"/>
  <c r="P1265" s="1"/>
  <c r="M1265"/>
  <c r="N1265"/>
  <c r="O1265"/>
  <c r="L1208"/>
  <c r="P1208" s="1"/>
  <c r="L1206"/>
  <c r="P1206" s="1"/>
  <c r="M1206"/>
  <c r="N1206"/>
  <c r="O1206"/>
  <c r="L1207"/>
  <c r="M1207"/>
  <c r="N1207"/>
  <c r="O1207"/>
  <c r="P1207"/>
  <c r="M1208"/>
  <c r="N1208"/>
  <c r="L1375"/>
  <c r="P1375" s="1"/>
  <c r="O1373"/>
  <c r="L1371"/>
  <c r="P1371" s="1"/>
  <c r="L1367"/>
  <c r="M1367"/>
  <c r="N1367"/>
  <c r="O1367"/>
  <c r="P1367"/>
  <c r="L1368"/>
  <c r="P1368" s="1"/>
  <c r="M1368"/>
  <c r="N1368"/>
  <c r="O1368"/>
  <c r="L1369"/>
  <c r="P1369" s="1"/>
  <c r="M1369"/>
  <c r="N1369"/>
  <c r="O1369"/>
  <c r="L1370"/>
  <c r="P1370" s="1"/>
  <c r="M1370"/>
  <c r="N1370"/>
  <c r="O1370"/>
  <c r="M1371"/>
  <c r="N1371"/>
  <c r="L1372"/>
  <c r="P1372" s="1"/>
  <c r="M1372"/>
  <c r="N1372"/>
  <c r="O1372"/>
  <c r="L1373"/>
  <c r="P1373" s="1"/>
  <c r="M1373"/>
  <c r="N1373"/>
  <c r="L1374"/>
  <c r="P1374" s="1"/>
  <c r="M1374"/>
  <c r="N1374"/>
  <c r="O1374"/>
  <c r="M1375"/>
  <c r="N1375"/>
  <c r="L1376"/>
  <c r="P1376" s="1"/>
  <c r="M1376"/>
  <c r="N1376"/>
  <c r="O1376"/>
  <c r="O1137"/>
  <c r="L1136"/>
  <c r="P1136" s="1"/>
  <c r="M1136"/>
  <c r="N1136"/>
  <c r="O1136"/>
  <c r="L1137"/>
  <c r="P1137" s="1"/>
  <c r="M1137"/>
  <c r="N1137"/>
  <c r="H1294" s="1"/>
  <c r="L1138"/>
  <c r="P1138" s="1"/>
  <c r="M1138"/>
  <c r="N1138"/>
  <c r="O1138"/>
  <c r="O1135"/>
  <c r="L1134"/>
  <c r="P1134" s="1"/>
  <c r="O1133"/>
  <c r="L1132"/>
  <c r="P1132" s="1"/>
  <c r="M1132"/>
  <c r="N1132"/>
  <c r="O1132"/>
  <c r="L1133"/>
  <c r="P1133" s="1"/>
  <c r="M1133"/>
  <c r="N1133"/>
  <c r="M1134"/>
  <c r="N1134"/>
  <c r="O1134"/>
  <c r="M1135"/>
  <c r="N1135"/>
  <c r="L1140"/>
  <c r="P1140" s="1"/>
  <c r="M1140"/>
  <c r="N1140"/>
  <c r="O1140"/>
  <c r="L1141"/>
  <c r="P1141" s="1"/>
  <c r="M1141"/>
  <c r="N1141"/>
  <c r="O1141"/>
  <c r="L1063"/>
  <c r="P1063" s="1"/>
  <c r="O1062"/>
  <c r="L1061"/>
  <c r="P1061" s="1"/>
  <c r="L1058"/>
  <c r="P1058" s="1"/>
  <c r="L1057"/>
  <c r="P1057" s="1"/>
  <c r="O1056"/>
  <c r="L1055"/>
  <c r="M1055"/>
  <c r="N1055"/>
  <c r="O1055"/>
  <c r="P1055"/>
  <c r="M1056"/>
  <c r="N1056"/>
  <c r="M1057"/>
  <c r="N1057"/>
  <c r="O1057"/>
  <c r="M1058"/>
  <c r="N1058"/>
  <c r="O1058"/>
  <c r="L1059"/>
  <c r="P1059" s="1"/>
  <c r="M1059"/>
  <c r="N1059"/>
  <c r="O1059"/>
  <c r="L1060"/>
  <c r="P1060" s="1"/>
  <c r="M1060"/>
  <c r="N1060"/>
  <c r="O1060"/>
  <c r="M1061"/>
  <c r="N1061"/>
  <c r="M1062"/>
  <c r="N1062"/>
  <c r="M1063"/>
  <c r="N1063"/>
  <c r="O1063"/>
  <c r="L1064"/>
  <c r="P1064" s="1"/>
  <c r="M1064"/>
  <c r="N1064"/>
  <c r="O1064"/>
  <c r="L1065"/>
  <c r="P1065" s="1"/>
  <c r="M1065"/>
  <c r="N1065"/>
  <c r="O1065"/>
  <c r="O834"/>
  <c r="L826"/>
  <c r="P826" s="1"/>
  <c r="O819"/>
  <c r="M810"/>
  <c r="N810"/>
  <c r="M811"/>
  <c r="N811"/>
  <c r="M812"/>
  <c r="M813"/>
  <c r="M814"/>
  <c r="N814"/>
  <c r="L815"/>
  <c r="P815" s="1"/>
  <c r="M815"/>
  <c r="N815"/>
  <c r="O815"/>
  <c r="L816"/>
  <c r="P816" s="1"/>
  <c r="M816"/>
  <c r="N816"/>
  <c r="O816"/>
  <c r="L817"/>
  <c r="P817" s="1"/>
  <c r="M817"/>
  <c r="N817"/>
  <c r="O817"/>
  <c r="M818"/>
  <c r="N818"/>
  <c r="M819"/>
  <c r="N819"/>
  <c r="M820"/>
  <c r="N820"/>
  <c r="L821"/>
  <c r="P821" s="1"/>
  <c r="M821"/>
  <c r="N821"/>
  <c r="O821"/>
  <c r="L822"/>
  <c r="P822" s="1"/>
  <c r="M822"/>
  <c r="N822"/>
  <c r="O822"/>
  <c r="L823"/>
  <c r="P823" s="1"/>
  <c r="M823"/>
  <c r="N823"/>
  <c r="O823"/>
  <c r="L824"/>
  <c r="P824" s="1"/>
  <c r="M824"/>
  <c r="N824"/>
  <c r="O824"/>
  <c r="L825"/>
  <c r="P825" s="1"/>
  <c r="M825"/>
  <c r="N825"/>
  <c r="O825"/>
  <c r="M826"/>
  <c r="N826"/>
  <c r="L827"/>
  <c r="P827" s="1"/>
  <c r="M827"/>
  <c r="N827"/>
  <c r="O827"/>
  <c r="L828"/>
  <c r="P828" s="1"/>
  <c r="M828"/>
  <c r="N828"/>
  <c r="O828"/>
  <c r="L829"/>
  <c r="P829" s="1"/>
  <c r="M829"/>
  <c r="N829"/>
  <c r="O829"/>
  <c r="L830"/>
  <c r="P830" s="1"/>
  <c r="M830"/>
  <c r="N830"/>
  <c r="O830"/>
  <c r="L831"/>
  <c r="P831" s="1"/>
  <c r="M831"/>
  <c r="N831"/>
  <c r="O831"/>
  <c r="L832"/>
  <c r="P832" s="1"/>
  <c r="M832"/>
  <c r="N832"/>
  <c r="O832"/>
  <c r="L833"/>
  <c r="P833" s="1"/>
  <c r="M833"/>
  <c r="N833"/>
  <c r="O833"/>
  <c r="M834"/>
  <c r="O809"/>
  <c r="N809"/>
  <c r="M809"/>
  <c r="L809"/>
  <c r="P809" s="1"/>
  <c r="O784"/>
  <c r="L781"/>
  <c r="P781" s="1"/>
  <c r="M781"/>
  <c r="N781"/>
  <c r="O781"/>
  <c r="L782"/>
  <c r="P782" s="1"/>
  <c r="M782"/>
  <c r="N782"/>
  <c r="O782"/>
  <c r="L783"/>
  <c r="P783" s="1"/>
  <c r="M783"/>
  <c r="N783"/>
  <c r="O783"/>
  <c r="L784"/>
  <c r="P784" s="1"/>
  <c r="M784"/>
  <c r="N784"/>
  <c r="L785"/>
  <c r="P785" s="1"/>
  <c r="M785"/>
  <c r="N785"/>
  <c r="O785"/>
  <c r="M764"/>
  <c r="N764"/>
  <c r="M765"/>
  <c r="N765"/>
  <c r="M766"/>
  <c r="N766"/>
  <c r="M767"/>
  <c r="N767"/>
  <c r="M768"/>
  <c r="N768"/>
  <c r="L769"/>
  <c r="P769" s="1"/>
  <c r="M769"/>
  <c r="N769"/>
  <c r="O769"/>
  <c r="L770"/>
  <c r="P770" s="1"/>
  <c r="M770"/>
  <c r="N770"/>
  <c r="O770"/>
  <c r="O768"/>
  <c r="L767"/>
  <c r="P767" s="1"/>
  <c r="O766"/>
  <c r="L765"/>
  <c r="P765" s="1"/>
  <c r="O764"/>
  <c r="L744"/>
  <c r="P744" s="1"/>
  <c r="L740"/>
  <c r="P740" s="1"/>
  <c r="M740"/>
  <c r="N740"/>
  <c r="O740"/>
  <c r="L741"/>
  <c r="P741" s="1"/>
  <c r="M741"/>
  <c r="N741"/>
  <c r="O741"/>
  <c r="L742"/>
  <c r="P742" s="1"/>
  <c r="M742"/>
  <c r="N742"/>
  <c r="O742"/>
  <c r="L743"/>
  <c r="P743" s="1"/>
  <c r="M743"/>
  <c r="N743"/>
  <c r="O743"/>
  <c r="M744"/>
  <c r="N744"/>
  <c r="L748"/>
  <c r="P748" s="1"/>
  <c r="M748"/>
  <c r="N748"/>
  <c r="O748"/>
  <c r="L750"/>
  <c r="P750" s="1"/>
  <c r="M750"/>
  <c r="N750"/>
  <c r="O750"/>
  <c r="L751"/>
  <c r="P751" s="1"/>
  <c r="M751"/>
  <c r="N751"/>
  <c r="O751"/>
  <c r="L752"/>
  <c r="P752" s="1"/>
  <c r="M752"/>
  <c r="N752"/>
  <c r="O752"/>
  <c r="L753"/>
  <c r="P753" s="1"/>
  <c r="M753"/>
  <c r="N753"/>
  <c r="O753"/>
  <c r="L632"/>
  <c r="P632" s="1"/>
  <c r="L628"/>
  <c r="P628" s="1"/>
  <c r="M628"/>
  <c r="N628"/>
  <c r="O628"/>
  <c r="L629"/>
  <c r="P629" s="1"/>
  <c r="M629"/>
  <c r="N629"/>
  <c r="O629"/>
  <c r="L630"/>
  <c r="P630" s="1"/>
  <c r="M630"/>
  <c r="N630"/>
  <c r="O630"/>
  <c r="L631"/>
  <c r="P631" s="1"/>
  <c r="M631"/>
  <c r="N631"/>
  <c r="O631"/>
  <c r="M632"/>
  <c r="N632"/>
  <c r="L633"/>
  <c r="P633" s="1"/>
  <c r="M633"/>
  <c r="N633"/>
  <c r="O633"/>
  <c r="L634"/>
  <c r="P634" s="1"/>
  <c r="M634"/>
  <c r="N634"/>
  <c r="O634"/>
  <c r="M594"/>
  <c r="N594"/>
  <c r="L595"/>
  <c r="P595" s="1"/>
  <c r="M595"/>
  <c r="N595"/>
  <c r="O595"/>
  <c r="L596"/>
  <c r="P596" s="1"/>
  <c r="M596"/>
  <c r="N596"/>
  <c r="O596"/>
  <c r="M597"/>
  <c r="N597"/>
  <c r="L598"/>
  <c r="P598" s="1"/>
  <c r="M598"/>
  <c r="N598"/>
  <c r="O598"/>
  <c r="L599"/>
  <c r="P599" s="1"/>
  <c r="M599"/>
  <c r="N599"/>
  <c r="O599"/>
  <c r="M600"/>
  <c r="N600"/>
  <c r="L601"/>
  <c r="P601" s="1"/>
  <c r="M601"/>
  <c r="N601"/>
  <c r="O601"/>
  <c r="L602"/>
  <c r="P602" s="1"/>
  <c r="M602"/>
  <c r="N602"/>
  <c r="O602"/>
  <c r="L603"/>
  <c r="P603" s="1"/>
  <c r="M603"/>
  <c r="N603"/>
  <c r="O603"/>
  <c r="L604"/>
  <c r="P604" s="1"/>
  <c r="M604"/>
  <c r="N604"/>
  <c r="O604"/>
  <c r="L605"/>
  <c r="P605" s="1"/>
  <c r="M605"/>
  <c r="N605"/>
  <c r="O605"/>
  <c r="M606"/>
  <c r="N606"/>
  <c r="L607"/>
  <c r="P607" s="1"/>
  <c r="M607"/>
  <c r="N607"/>
  <c r="O607"/>
  <c r="L608"/>
  <c r="M608"/>
  <c r="N608"/>
  <c r="O608"/>
  <c r="P608"/>
  <c r="M609"/>
  <c r="N609"/>
  <c r="L610"/>
  <c r="P610" s="1"/>
  <c r="M610"/>
  <c r="N610"/>
  <c r="O610"/>
  <c r="L614"/>
  <c r="P614" s="1"/>
  <c r="M614"/>
  <c r="N614"/>
  <c r="O614"/>
  <c r="M615"/>
  <c r="N615"/>
  <c r="L617"/>
  <c r="P617" s="1"/>
  <c r="M617"/>
  <c r="N617"/>
  <c r="O617"/>
  <c r="M618"/>
  <c r="N618"/>
  <c r="M619"/>
  <c r="N619"/>
  <c r="M620"/>
  <c r="N620"/>
  <c r="L621"/>
  <c r="M621"/>
  <c r="N621"/>
  <c r="O621"/>
  <c r="P621"/>
  <c r="L623"/>
  <c r="P623" s="1"/>
  <c r="M623"/>
  <c r="N623"/>
  <c r="O623"/>
  <c r="L624"/>
  <c r="M624"/>
  <c r="N624"/>
  <c r="O624"/>
  <c r="P624"/>
  <c r="N625"/>
  <c r="N637"/>
  <c r="N638"/>
  <c r="N639"/>
  <c r="N640"/>
  <c r="N641"/>
  <c r="L619"/>
  <c r="P619" s="1"/>
  <c r="O618"/>
  <c r="O620"/>
  <c r="L615"/>
  <c r="P615" s="1"/>
  <c r="L613"/>
  <c r="L611"/>
  <c r="L609"/>
  <c r="P609" s="1"/>
  <c r="O606"/>
  <c r="O600"/>
  <c r="L597"/>
  <c r="P597" s="1"/>
  <c r="O594"/>
  <c r="H613"/>
  <c r="N613" s="1"/>
  <c r="H612"/>
  <c r="M612" s="1"/>
  <c r="H616"/>
  <c r="M616" s="1"/>
  <c r="H611"/>
  <c r="N611" s="1"/>
  <c r="J241" i="21"/>
  <c r="J237"/>
  <c r="J242" s="1"/>
  <c r="J233"/>
  <c r="J225"/>
  <c r="J221"/>
  <c r="J226" s="1"/>
  <c r="J217"/>
  <c r="J214"/>
  <c r="J210"/>
  <c r="J206"/>
  <c r="J177"/>
  <c r="J173"/>
  <c r="J178" s="1"/>
  <c r="J169"/>
  <c r="J161"/>
  <c r="J157"/>
  <c r="J162" s="1"/>
  <c r="J153"/>
  <c r="J150"/>
  <c r="J146"/>
  <c r="J142"/>
  <c r="J113"/>
  <c r="J109"/>
  <c r="J114" s="1"/>
  <c r="J105"/>
  <c r="J97"/>
  <c r="J93"/>
  <c r="J98" s="1"/>
  <c r="J89"/>
  <c r="J86"/>
  <c r="J82"/>
  <c r="J78"/>
  <c r="J48"/>
  <c r="J44"/>
  <c r="J49" s="1"/>
  <c r="J40"/>
  <c r="G81" i="48"/>
  <c r="G82"/>
  <c r="L93"/>
  <c r="O282" i="6"/>
  <c r="L277"/>
  <c r="P277" s="1"/>
  <c r="L272"/>
  <c r="P272" s="1"/>
  <c r="O269"/>
  <c r="L266"/>
  <c r="P266" s="1"/>
  <c r="O260"/>
  <c r="L257"/>
  <c r="P257" s="1"/>
  <c r="M251"/>
  <c r="O251"/>
  <c r="M252"/>
  <c r="O252"/>
  <c r="M253"/>
  <c r="O253"/>
  <c r="M254"/>
  <c r="O254"/>
  <c r="M255"/>
  <c r="O255"/>
  <c r="M256"/>
  <c r="O256"/>
  <c r="M257"/>
  <c r="M258"/>
  <c r="O258"/>
  <c r="M259"/>
  <c r="O259"/>
  <c r="M260"/>
  <c r="M261"/>
  <c r="O261"/>
  <c r="M262"/>
  <c r="O262"/>
  <c r="M263"/>
  <c r="O263"/>
  <c r="M264"/>
  <c r="O264"/>
  <c r="M265"/>
  <c r="O265"/>
  <c r="M266"/>
  <c r="M267"/>
  <c r="O267"/>
  <c r="M268"/>
  <c r="O268"/>
  <c r="M269"/>
  <c r="M270"/>
  <c r="O270"/>
  <c r="M271"/>
  <c r="O271"/>
  <c r="M272"/>
  <c r="M273"/>
  <c r="O273"/>
  <c r="M276"/>
  <c r="O276"/>
  <c r="M277"/>
  <c r="M279"/>
  <c r="O279"/>
  <c r="M280"/>
  <c r="M281"/>
  <c r="M282"/>
  <c r="M283"/>
  <c r="O283"/>
  <c r="L251"/>
  <c r="P251" s="1"/>
  <c r="L252"/>
  <c r="P252" s="1"/>
  <c r="L253"/>
  <c r="P253" s="1"/>
  <c r="L254"/>
  <c r="P254" s="1"/>
  <c r="L255"/>
  <c r="P255" s="1"/>
  <c r="L256"/>
  <c r="P256" s="1"/>
  <c r="L258"/>
  <c r="P258" s="1"/>
  <c r="L259"/>
  <c r="P259" s="1"/>
  <c r="L261"/>
  <c r="P261" s="1"/>
  <c r="L262"/>
  <c r="P262" s="1"/>
  <c r="L263"/>
  <c r="P263" s="1"/>
  <c r="L264"/>
  <c r="P264" s="1"/>
  <c r="L265"/>
  <c r="P265" s="1"/>
  <c r="L267"/>
  <c r="P267" s="1"/>
  <c r="L268"/>
  <c r="P268" s="1"/>
  <c r="L270"/>
  <c r="P270" s="1"/>
  <c r="L271"/>
  <c r="P271" s="1"/>
  <c r="L273"/>
  <c r="P273" s="1"/>
  <c r="L274"/>
  <c r="L276"/>
  <c r="P276" s="1"/>
  <c r="L279"/>
  <c r="P279" s="1"/>
  <c r="L283"/>
  <c r="P283" s="1"/>
  <c r="J10" i="25"/>
  <c r="K810" i="6"/>
  <c r="L810" s="1"/>
  <c r="P810" s="1"/>
  <c r="L818"/>
  <c r="P818" s="1"/>
  <c r="L814"/>
  <c r="P814" s="1"/>
  <c r="K811"/>
  <c r="H278"/>
  <c r="M278" s="1"/>
  <c r="H275"/>
  <c r="M275" s="1"/>
  <c r="H274"/>
  <c r="M359"/>
  <c r="M360"/>
  <c r="M361"/>
  <c r="N359"/>
  <c r="N360"/>
  <c r="N361"/>
  <c r="L359"/>
  <c r="P359" s="1"/>
  <c r="L360"/>
  <c r="P360" s="1"/>
  <c r="O359"/>
  <c r="O360"/>
  <c r="L361"/>
  <c r="J15" i="43"/>
  <c r="J13"/>
  <c r="J11"/>
  <c r="J17" i="44"/>
  <c r="K1463" i="6"/>
  <c r="K1189"/>
  <c r="K1127"/>
  <c r="K1028"/>
  <c r="K802"/>
  <c r="N93" i="48"/>
  <c r="N95" s="1"/>
  <c r="G83"/>
  <c r="I83" s="1"/>
  <c r="L83" s="1"/>
  <c r="I82"/>
  <c r="M82" s="1"/>
  <c r="I81"/>
  <c r="M81" s="1"/>
  <c r="G80"/>
  <c r="I80" s="1"/>
  <c r="M80" s="1"/>
  <c r="G79"/>
  <c r="I79" s="1"/>
  <c r="L79" s="1"/>
  <c r="I78"/>
  <c r="L78" s="1"/>
  <c r="G78"/>
  <c r="N59"/>
  <c r="N61" s="1"/>
  <c r="M59"/>
  <c r="M61" s="1"/>
  <c r="I48"/>
  <c r="G48"/>
  <c r="I47"/>
  <c r="G47"/>
  <c r="I46"/>
  <c r="G46"/>
  <c r="I45"/>
  <c r="G45"/>
  <c r="I44"/>
  <c r="G44"/>
  <c r="M29"/>
  <c r="M31" s="1"/>
  <c r="I28"/>
  <c r="I27"/>
  <c r="N27" s="1"/>
  <c r="G27"/>
  <c r="G24"/>
  <c r="I24" s="1"/>
  <c r="N24" s="1"/>
  <c r="N29" s="1"/>
  <c r="N31" s="1"/>
  <c r="G23"/>
  <c r="I23" s="1"/>
  <c r="G22"/>
  <c r="I22" s="1"/>
  <c r="G21"/>
  <c r="I21" s="1"/>
  <c r="G20"/>
  <c r="I20" s="1"/>
  <c r="G19"/>
  <c r="I19" s="1"/>
  <c r="G18"/>
  <c r="I18" s="1"/>
  <c r="G17"/>
  <c r="I17" s="1"/>
  <c r="G16"/>
  <c r="I16" s="1"/>
  <c r="G15"/>
  <c r="I15" s="1"/>
  <c r="G14"/>
  <c r="I14" s="1"/>
  <c r="G13"/>
  <c r="I13" s="1"/>
  <c r="G12"/>
  <c r="I12" s="1"/>
  <c r="J18" i="46"/>
  <c r="J16"/>
  <c r="I22" i="45"/>
  <c r="L1047" i="6" s="1"/>
  <c r="P1047" s="1"/>
  <c r="I16" i="45"/>
  <c r="J42" i="30"/>
  <c r="J32"/>
  <c r="J28"/>
  <c r="J26"/>
  <c r="J24"/>
  <c r="J22"/>
  <c r="J18"/>
  <c r="J16"/>
  <c r="J14"/>
  <c r="J12"/>
  <c r="J16" i="32"/>
  <c r="J32" i="21"/>
  <c r="J28"/>
  <c r="J21"/>
  <c r="O1047" i="6" l="1"/>
  <c r="O1049" s="1"/>
  <c r="K152"/>
  <c r="O812"/>
  <c r="L820"/>
  <c r="P820" s="1"/>
  <c r="L1041"/>
  <c r="P1041" s="1"/>
  <c r="P1049" s="1"/>
  <c r="K57" i="8" s="1"/>
  <c r="L1056" i="6"/>
  <c r="P1056" s="1"/>
  <c r="L1135"/>
  <c r="P1135" s="1"/>
  <c r="L1253"/>
  <c r="P1253" s="1"/>
  <c r="L1249"/>
  <c r="P1249" s="1"/>
  <c r="O1256"/>
  <c r="O811"/>
  <c r="L811"/>
  <c r="P811" s="1"/>
  <c r="N1049"/>
  <c r="M1049"/>
  <c r="O1245"/>
  <c r="O1375"/>
  <c r="O1371"/>
  <c r="O1208"/>
  <c r="L1062"/>
  <c r="P1062" s="1"/>
  <c r="O826"/>
  <c r="O839" s="1"/>
  <c r="P839" s="1"/>
  <c r="O1061"/>
  <c r="O818"/>
  <c r="O277"/>
  <c r="O272"/>
  <c r="L819"/>
  <c r="P819" s="1"/>
  <c r="O814"/>
  <c r="O810"/>
  <c r="O274"/>
  <c r="O266"/>
  <c r="L768"/>
  <c r="P768" s="1"/>
  <c r="O767"/>
  <c r="L766"/>
  <c r="P766" s="1"/>
  <c r="O765"/>
  <c r="L764"/>
  <c r="P764" s="1"/>
  <c r="L282"/>
  <c r="P282" s="1"/>
  <c r="L269"/>
  <c r="P269" s="1"/>
  <c r="L260"/>
  <c r="P260" s="1"/>
  <c r="O744"/>
  <c r="O632"/>
  <c r="O636" s="1"/>
  <c r="N626"/>
  <c r="M636"/>
  <c r="P636"/>
  <c r="K28" i="8" s="1"/>
  <c r="N636" i="6"/>
  <c r="O612"/>
  <c r="O616"/>
  <c r="L620"/>
  <c r="P620" s="1"/>
  <c r="O619"/>
  <c r="L618"/>
  <c r="P618" s="1"/>
  <c r="N616"/>
  <c r="L616"/>
  <c r="P616" s="1"/>
  <c r="O615"/>
  <c r="O613"/>
  <c r="M613"/>
  <c r="N612"/>
  <c r="L612"/>
  <c r="P612" s="1"/>
  <c r="O611"/>
  <c r="M611"/>
  <c r="O609"/>
  <c r="L606"/>
  <c r="P606" s="1"/>
  <c r="L600"/>
  <c r="P600" s="1"/>
  <c r="O597"/>
  <c r="L594"/>
  <c r="P594" s="1"/>
  <c r="P613"/>
  <c r="P611"/>
  <c r="P274"/>
  <c r="M274"/>
  <c r="J33" i="21"/>
  <c r="L387" i="6" s="1"/>
  <c r="P387" s="1"/>
  <c r="M93" i="48"/>
  <c r="M95" s="1"/>
  <c r="O257" i="6"/>
  <c r="P361"/>
  <c r="O361"/>
  <c r="L95" i="48"/>
  <c r="J29" i="30"/>
  <c r="J19"/>
  <c r="L1341" i="6"/>
  <c r="L1342"/>
  <c r="L1343"/>
  <c r="P1343" s="1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468"/>
  <c r="N469"/>
  <c r="L468"/>
  <c r="P468" s="1"/>
  <c r="L469"/>
  <c r="P469" s="1"/>
  <c r="L467"/>
  <c r="P467" s="1"/>
  <c r="M467"/>
  <c r="N467"/>
  <c r="O467"/>
  <c r="N420"/>
  <c r="N421"/>
  <c r="N422"/>
  <c r="L375"/>
  <c r="P375" s="1"/>
  <c r="O221"/>
  <c r="O222"/>
  <c r="O223"/>
  <c r="O224"/>
  <c r="O225"/>
  <c r="O226"/>
  <c r="O227"/>
  <c r="O228"/>
  <c r="O229"/>
  <c r="O230"/>
  <c r="O231"/>
  <c r="O232"/>
  <c r="O233"/>
  <c r="O234"/>
  <c r="O235"/>
  <c r="O236"/>
  <c r="O238"/>
  <c r="O239"/>
  <c r="O242"/>
  <c r="O243"/>
  <c r="O244"/>
  <c r="O246"/>
  <c r="O247"/>
  <c r="O248"/>
  <c r="O249"/>
  <c r="O250"/>
  <c r="O220"/>
  <c r="N246"/>
  <c r="H241"/>
  <c r="O241" s="1"/>
  <c r="L28"/>
  <c r="P28" s="1"/>
  <c r="L29"/>
  <c r="P29" s="1"/>
  <c r="L30"/>
  <c r="P30" s="1"/>
  <c r="L31"/>
  <c r="P31" s="1"/>
  <c r="L32"/>
  <c r="P32" s="1"/>
  <c r="P33"/>
  <c r="P34"/>
  <c r="N27"/>
  <c r="L27"/>
  <c r="P27" s="1"/>
  <c r="L21"/>
  <c r="O158"/>
  <c r="O1125"/>
  <c r="P238"/>
  <c r="H245"/>
  <c r="O245" s="1"/>
  <c r="M238"/>
  <c r="M239"/>
  <c r="I240"/>
  <c r="H240"/>
  <c r="P240" s="1"/>
  <c r="I237"/>
  <c r="H237"/>
  <c r="N237" s="1"/>
  <c r="O316"/>
  <c r="N247"/>
  <c r="N248"/>
  <c r="N249"/>
  <c r="N242"/>
  <c r="N243"/>
  <c r="N244"/>
  <c r="N227"/>
  <c r="N228"/>
  <c r="N229"/>
  <c r="N230"/>
  <c r="N231"/>
  <c r="N232"/>
  <c r="N233"/>
  <c r="N234"/>
  <c r="N235"/>
  <c r="N236"/>
  <c r="N239"/>
  <c r="N226"/>
  <c r="M236"/>
  <c r="M242"/>
  <c r="M243"/>
  <c r="M244"/>
  <c r="M246"/>
  <c r="M247"/>
  <c r="M248"/>
  <c r="M249"/>
  <c r="M250"/>
  <c r="M235"/>
  <c r="M233"/>
  <c r="M234"/>
  <c r="M232"/>
  <c r="L235"/>
  <c r="L233"/>
  <c r="P233" s="1"/>
  <c r="L234"/>
  <c r="P234" s="1"/>
  <c r="L236"/>
  <c r="P236" s="1"/>
  <c r="L237"/>
  <c r="L239"/>
  <c r="P239" s="1"/>
  <c r="L241"/>
  <c r="L242"/>
  <c r="P242" s="1"/>
  <c r="L243"/>
  <c r="P243" s="1"/>
  <c r="L244"/>
  <c r="P244" s="1"/>
  <c r="L245"/>
  <c r="L246"/>
  <c r="P246" s="1"/>
  <c r="L247"/>
  <c r="P247" s="1"/>
  <c r="L248"/>
  <c r="P248" s="1"/>
  <c r="L249"/>
  <c r="P249" s="1"/>
  <c r="L250"/>
  <c r="P250" s="1"/>
  <c r="M195"/>
  <c r="O100"/>
  <c r="D43" i="9"/>
  <c r="E41"/>
  <c r="H12"/>
  <c r="H14" s="1"/>
  <c r="L24" i="21"/>
  <c r="L21"/>
  <c r="L17"/>
  <c r="L13"/>
  <c r="O336" i="6"/>
  <c r="O337"/>
  <c r="O338"/>
  <c r="O339"/>
  <c r="L1018"/>
  <c r="P1018" s="1"/>
  <c r="L1019"/>
  <c r="P1019" s="1"/>
  <c r="L1020"/>
  <c r="P1020" s="1"/>
  <c r="L1021"/>
  <c r="P1021" s="1"/>
  <c r="L1012"/>
  <c r="P1012" s="1"/>
  <c r="L1013"/>
  <c r="P1013" s="1"/>
  <c r="L1006"/>
  <c r="P1006" s="1"/>
  <c r="L1007"/>
  <c r="P1007" s="1"/>
  <c r="L1000"/>
  <c r="P1000" s="1"/>
  <c r="L1001"/>
  <c r="P1001" s="1"/>
  <c r="L989"/>
  <c r="P989" s="1"/>
  <c r="L990"/>
  <c r="P990" s="1"/>
  <c r="L991"/>
  <c r="P991" s="1"/>
  <c r="L983"/>
  <c r="P983" s="1"/>
  <c r="L984"/>
  <c r="P984" s="1"/>
  <c r="L977"/>
  <c r="P977" s="1"/>
  <c r="L978"/>
  <c r="P978" s="1"/>
  <c r="L971"/>
  <c r="P971" s="1"/>
  <c r="L972"/>
  <c r="P972" s="1"/>
  <c r="P1024"/>
  <c r="O1018"/>
  <c r="O1019"/>
  <c r="O1020"/>
  <c r="O1021"/>
  <c r="O1012"/>
  <c r="O1013"/>
  <c r="O1015"/>
  <c r="O1006"/>
  <c r="O1007"/>
  <c r="O1009"/>
  <c r="O1000"/>
  <c r="O1001"/>
  <c r="O1003"/>
  <c r="O989"/>
  <c r="O990"/>
  <c r="O991"/>
  <c r="O993"/>
  <c r="O983"/>
  <c r="O984"/>
  <c r="O986"/>
  <c r="O977"/>
  <c r="O978"/>
  <c r="O980"/>
  <c r="O981"/>
  <c r="M980"/>
  <c r="M982"/>
  <c r="M983"/>
  <c r="M984"/>
  <c r="M985"/>
  <c r="M971"/>
  <c r="N971"/>
  <c r="O971"/>
  <c r="M972"/>
  <c r="N972"/>
  <c r="O972"/>
  <c r="M973"/>
  <c r="N973"/>
  <c r="M974"/>
  <c r="N974"/>
  <c r="O974"/>
  <c r="M975"/>
  <c r="N975"/>
  <c r="O975"/>
  <c r="M977"/>
  <c r="M978"/>
  <c r="M979"/>
  <c r="M1018"/>
  <c r="M1019"/>
  <c r="M1020"/>
  <c r="M1021"/>
  <c r="M1022"/>
  <c r="M1012"/>
  <c r="M1013"/>
  <c r="M1014"/>
  <c r="M1006"/>
  <c r="M1007"/>
  <c r="M1008"/>
  <c r="M1009"/>
  <c r="M1000"/>
  <c r="M1001"/>
  <c r="M1002"/>
  <c r="M1003"/>
  <c r="M999"/>
  <c r="M989"/>
  <c r="M990"/>
  <c r="M991"/>
  <c r="M992"/>
  <c r="M993"/>
  <c r="M994"/>
  <c r="M995"/>
  <c r="M996"/>
  <c r="M997"/>
  <c r="M998"/>
  <c r="M1023"/>
  <c r="M1024"/>
  <c r="L966"/>
  <c r="P966" s="1"/>
  <c r="M966"/>
  <c r="N966"/>
  <c r="O966"/>
  <c r="L968"/>
  <c r="P968" s="1"/>
  <c r="M968"/>
  <c r="N968"/>
  <c r="O968"/>
  <c r="M970"/>
  <c r="N970"/>
  <c r="L974"/>
  <c r="P974" s="1"/>
  <c r="M976"/>
  <c r="N976"/>
  <c r="L980"/>
  <c r="P980" s="1"/>
  <c r="L986"/>
  <c r="P986" s="1"/>
  <c r="M986"/>
  <c r="M988"/>
  <c r="L993"/>
  <c r="P993" s="1"/>
  <c r="L997"/>
  <c r="P997" s="1"/>
  <c r="O997"/>
  <c r="L1003"/>
  <c r="P1003" s="1"/>
  <c r="M1005"/>
  <c r="L1009"/>
  <c r="P1009" s="1"/>
  <c r="M1011"/>
  <c r="L1015"/>
  <c r="P1015" s="1"/>
  <c r="M1015"/>
  <c r="M1017"/>
  <c r="L1023"/>
  <c r="P1023" s="1"/>
  <c r="O1023"/>
  <c r="M1025"/>
  <c r="L326"/>
  <c r="P326" s="1"/>
  <c r="M326"/>
  <c r="N326"/>
  <c r="O326"/>
  <c r="L327"/>
  <c r="P327" s="1"/>
  <c r="M327"/>
  <c r="N327"/>
  <c r="O327"/>
  <c r="L328"/>
  <c r="P328" s="1"/>
  <c r="M328"/>
  <c r="N328"/>
  <c r="O328"/>
  <c r="M329"/>
  <c r="N329"/>
  <c r="L330"/>
  <c r="P330" s="1"/>
  <c r="M330"/>
  <c r="N330"/>
  <c r="O330"/>
  <c r="L331"/>
  <c r="P331" s="1"/>
  <c r="M331"/>
  <c r="N331"/>
  <c r="O331"/>
  <c r="M332"/>
  <c r="N332"/>
  <c r="L333"/>
  <c r="P333" s="1"/>
  <c r="M333"/>
  <c r="N333"/>
  <c r="O333"/>
  <c r="L334"/>
  <c r="P334" s="1"/>
  <c r="M334"/>
  <c r="N334"/>
  <c r="O334"/>
  <c r="M335"/>
  <c r="N335"/>
  <c r="L336"/>
  <c r="P336" s="1"/>
  <c r="M336"/>
  <c r="N336"/>
  <c r="L928"/>
  <c r="P928" s="1"/>
  <c r="M928"/>
  <c r="N928"/>
  <c r="O928"/>
  <c r="L929"/>
  <c r="P929" s="1"/>
  <c r="M929"/>
  <c r="N929"/>
  <c r="O929"/>
  <c r="L930"/>
  <c r="P930" s="1"/>
  <c r="M930"/>
  <c r="N930"/>
  <c r="O930"/>
  <c r="M931"/>
  <c r="N931"/>
  <c r="L932"/>
  <c r="P932" s="1"/>
  <c r="M932"/>
  <c r="N932"/>
  <c r="O932"/>
  <c r="L933"/>
  <c r="M933"/>
  <c r="N933"/>
  <c r="O933"/>
  <c r="P933"/>
  <c r="M934"/>
  <c r="N934"/>
  <c r="L935"/>
  <c r="P935" s="1"/>
  <c r="M935"/>
  <c r="N935"/>
  <c r="O935"/>
  <c r="L936"/>
  <c r="P936" s="1"/>
  <c r="M936"/>
  <c r="N936"/>
  <c r="O936"/>
  <c r="L937"/>
  <c r="P937" s="1"/>
  <c r="M937"/>
  <c r="N937"/>
  <c r="O937"/>
  <c r="M938"/>
  <c r="N938"/>
  <c r="L939"/>
  <c r="P939" s="1"/>
  <c r="M939"/>
  <c r="N939"/>
  <c r="O939"/>
  <c r="M940"/>
  <c r="N940"/>
  <c r="L941"/>
  <c r="P941" s="1"/>
  <c r="M941"/>
  <c r="N941"/>
  <c r="O941"/>
  <c r="M942"/>
  <c r="N942"/>
  <c r="L943"/>
  <c r="P943" s="1"/>
  <c r="M943"/>
  <c r="N943"/>
  <c r="O943"/>
  <c r="M944"/>
  <c r="N944"/>
  <c r="L945"/>
  <c r="P945" s="1"/>
  <c r="M945"/>
  <c r="N945"/>
  <c r="O945"/>
  <c r="M946"/>
  <c r="N946"/>
  <c r="L947"/>
  <c r="P947" s="1"/>
  <c r="M947"/>
  <c r="N947"/>
  <c r="O947"/>
  <c r="L948"/>
  <c r="P948" s="1"/>
  <c r="M948"/>
  <c r="N948"/>
  <c r="O948"/>
  <c r="M949"/>
  <c r="N949"/>
  <c r="L950"/>
  <c r="P950" s="1"/>
  <c r="M950"/>
  <c r="N950"/>
  <c r="O950"/>
  <c r="L951"/>
  <c r="P951" s="1"/>
  <c r="M951"/>
  <c r="N951"/>
  <c r="O951"/>
  <c r="M952"/>
  <c r="N952"/>
  <c r="L953"/>
  <c r="P953" s="1"/>
  <c r="M953"/>
  <c r="N953"/>
  <c r="O953"/>
  <c r="M954"/>
  <c r="N954"/>
  <c r="L955"/>
  <c r="P955" s="1"/>
  <c r="M955"/>
  <c r="N955"/>
  <c r="O955"/>
  <c r="M956"/>
  <c r="N956"/>
  <c r="L957"/>
  <c r="P957" s="1"/>
  <c r="M957"/>
  <c r="N957"/>
  <c r="O957"/>
  <c r="M958"/>
  <c r="N958"/>
  <c r="L959"/>
  <c r="P959" s="1"/>
  <c r="M959"/>
  <c r="N959"/>
  <c r="O959"/>
  <c r="M960"/>
  <c r="N960"/>
  <c r="L961"/>
  <c r="P961" s="1"/>
  <c r="M961"/>
  <c r="N961"/>
  <c r="O961"/>
  <c r="M962"/>
  <c r="N962"/>
  <c r="L1052"/>
  <c r="P1052" s="1"/>
  <c r="M1052"/>
  <c r="N1052"/>
  <c r="O1052"/>
  <c r="L1053"/>
  <c r="P1053" s="1"/>
  <c r="M1053"/>
  <c r="N1053"/>
  <c r="O1053"/>
  <c r="L1054"/>
  <c r="P1054" s="1"/>
  <c r="M1054"/>
  <c r="N1054"/>
  <c r="O1054"/>
  <c r="L551"/>
  <c r="P551" s="1"/>
  <c r="M551"/>
  <c r="N551"/>
  <c r="O551"/>
  <c r="M552"/>
  <c r="N552"/>
  <c r="N550"/>
  <c r="M550"/>
  <c r="O549"/>
  <c r="N549"/>
  <c r="M549"/>
  <c r="L549"/>
  <c r="P549" s="1"/>
  <c r="N548"/>
  <c r="M548"/>
  <c r="O547"/>
  <c r="N547"/>
  <c r="M547"/>
  <c r="L547"/>
  <c r="P547" s="1"/>
  <c r="N546"/>
  <c r="M546"/>
  <c r="O545"/>
  <c r="N545"/>
  <c r="M545"/>
  <c r="L545"/>
  <c r="P545" s="1"/>
  <c r="N544"/>
  <c r="M544"/>
  <c r="O543"/>
  <c r="N543"/>
  <c r="M543"/>
  <c r="L543"/>
  <c r="P543" s="1"/>
  <c r="L473"/>
  <c r="P473" s="1"/>
  <c r="M473"/>
  <c r="N473"/>
  <c r="O473"/>
  <c r="L474"/>
  <c r="M474"/>
  <c r="N474"/>
  <c r="O474"/>
  <c r="P474"/>
  <c r="L475"/>
  <c r="P475" s="1"/>
  <c r="M475"/>
  <c r="N475"/>
  <c r="O475"/>
  <c r="L476"/>
  <c r="P476" s="1"/>
  <c r="M476"/>
  <c r="N476"/>
  <c r="O476"/>
  <c r="M477"/>
  <c r="N477"/>
  <c r="L478"/>
  <c r="P478" s="1"/>
  <c r="M478"/>
  <c r="N478"/>
  <c r="O478"/>
  <c r="M479"/>
  <c r="N479"/>
  <c r="L480"/>
  <c r="P480" s="1"/>
  <c r="M480"/>
  <c r="N480"/>
  <c r="O480"/>
  <c r="M481"/>
  <c r="N481"/>
  <c r="L482"/>
  <c r="P482" s="1"/>
  <c r="M482"/>
  <c r="N482"/>
  <c r="O482"/>
  <c r="M483"/>
  <c r="N483"/>
  <c r="L484"/>
  <c r="P484" s="1"/>
  <c r="M484"/>
  <c r="N484"/>
  <c r="O484"/>
  <c r="M485"/>
  <c r="N485"/>
  <c r="O483"/>
  <c r="L159"/>
  <c r="P159" s="1"/>
  <c r="M158"/>
  <c r="N158"/>
  <c r="M229"/>
  <c r="M226"/>
  <c r="N223"/>
  <c r="M223"/>
  <c r="N220"/>
  <c r="M220"/>
  <c r="L1014"/>
  <c r="P1014" s="1"/>
  <c r="L1005"/>
  <c r="P1005" s="1"/>
  <c r="O999"/>
  <c r="O995"/>
  <c r="L985"/>
  <c r="P985" s="1"/>
  <c r="O979"/>
  <c r="L976"/>
  <c r="P976" s="1"/>
  <c r="L973"/>
  <c r="P973" s="1"/>
  <c r="O970"/>
  <c r="L332"/>
  <c r="P332" s="1"/>
  <c r="O329"/>
  <c r="O960"/>
  <c r="L954"/>
  <c r="P954" s="1"/>
  <c r="L949"/>
  <c r="P949" s="1"/>
  <c r="O944"/>
  <c r="O942"/>
  <c r="O934"/>
  <c r="O931"/>
  <c r="L552"/>
  <c r="P552" s="1"/>
  <c r="O550"/>
  <c r="O548"/>
  <c r="O546"/>
  <c r="O544"/>
  <c r="J24" i="21"/>
  <c r="L386" i="6" s="1"/>
  <c r="P386" s="1"/>
  <c r="O485"/>
  <c r="J13" i="21"/>
  <c r="O370" i="6" s="1"/>
  <c r="O479"/>
  <c r="J17" i="21"/>
  <c r="O481" i="6"/>
  <c r="O156"/>
  <c r="O174"/>
  <c r="L168"/>
  <c r="L229"/>
  <c r="P229" s="1"/>
  <c r="L223"/>
  <c r="P223" s="1"/>
  <c r="L220"/>
  <c r="L226"/>
  <c r="P420"/>
  <c r="P421"/>
  <c r="O420"/>
  <c r="O421"/>
  <c r="O375"/>
  <c r="N372"/>
  <c r="N373"/>
  <c r="N374"/>
  <c r="N375"/>
  <c r="N376"/>
  <c r="M376"/>
  <c r="M374"/>
  <c r="M375"/>
  <c r="L1186"/>
  <c r="P1186" s="1"/>
  <c r="O1182"/>
  <c r="L1178"/>
  <c r="P1178" s="1"/>
  <c r="L625"/>
  <c r="P625" s="1"/>
  <c r="P626" s="1"/>
  <c r="L1204"/>
  <c r="P1204" s="1"/>
  <c r="O1203"/>
  <c r="L1202"/>
  <c r="P1202" s="1"/>
  <c r="L1201"/>
  <c r="P1201" s="1"/>
  <c r="O1200"/>
  <c r="O1198"/>
  <c r="O780"/>
  <c r="L19"/>
  <c r="P19" s="1"/>
  <c r="M19"/>
  <c r="N19"/>
  <c r="O19"/>
  <c r="L20"/>
  <c r="P20" s="1"/>
  <c r="M20"/>
  <c r="N20"/>
  <c r="O20"/>
  <c r="N21"/>
  <c r="P21" s="1"/>
  <c r="N22"/>
  <c r="L23"/>
  <c r="P23" s="1"/>
  <c r="M23"/>
  <c r="N23"/>
  <c r="O23"/>
  <c r="M24"/>
  <c r="N24"/>
  <c r="O24"/>
  <c r="L25"/>
  <c r="P25" s="1"/>
  <c r="M25"/>
  <c r="N25"/>
  <c r="O25"/>
  <c r="M32"/>
  <c r="N32"/>
  <c r="O32"/>
  <c r="L35"/>
  <c r="P35" s="1"/>
  <c r="M35"/>
  <c r="N35"/>
  <c r="O35"/>
  <c r="L38"/>
  <c r="M38"/>
  <c r="N38"/>
  <c r="O38"/>
  <c r="P38"/>
  <c r="L41"/>
  <c r="P41" s="1"/>
  <c r="M41"/>
  <c r="N41"/>
  <c r="O41"/>
  <c r="M47"/>
  <c r="O47"/>
  <c r="L48"/>
  <c r="P48" s="1"/>
  <c r="M48"/>
  <c r="N48"/>
  <c r="O48"/>
  <c r="L56"/>
  <c r="M56"/>
  <c r="N56"/>
  <c r="O56"/>
  <c r="L59"/>
  <c r="P59" s="1"/>
  <c r="M59"/>
  <c r="N59"/>
  <c r="O59"/>
  <c r="L60"/>
  <c r="P60" s="1"/>
  <c r="N60"/>
  <c r="O60"/>
  <c r="L61"/>
  <c r="P61" s="1"/>
  <c r="N61"/>
  <c r="O61"/>
  <c r="L62"/>
  <c r="P62" s="1"/>
  <c r="M62"/>
  <c r="N62"/>
  <c r="O62"/>
  <c r="M63"/>
  <c r="N63"/>
  <c r="O63"/>
  <c r="P63"/>
  <c r="O64"/>
  <c r="P64"/>
  <c r="L65"/>
  <c r="P65" s="1"/>
  <c r="N65"/>
  <c r="O65"/>
  <c r="L66"/>
  <c r="P66" s="1"/>
  <c r="M66"/>
  <c r="N66"/>
  <c r="O66"/>
  <c r="L67"/>
  <c r="P67" s="1"/>
  <c r="N67"/>
  <c r="O67"/>
  <c r="L68"/>
  <c r="P68" s="1"/>
  <c r="M68"/>
  <c r="N68"/>
  <c r="O68"/>
  <c r="L73"/>
  <c r="P73" s="1"/>
  <c r="M73"/>
  <c r="N73"/>
  <c r="O73"/>
  <c r="L74"/>
  <c r="P74" s="1"/>
  <c r="M74"/>
  <c r="N74"/>
  <c r="O74"/>
  <c r="L75"/>
  <c r="P75" s="1"/>
  <c r="M75"/>
  <c r="N75"/>
  <c r="O75"/>
  <c r="L76"/>
  <c r="P76" s="1"/>
  <c r="M76"/>
  <c r="N76"/>
  <c r="O76"/>
  <c r="L77"/>
  <c r="P77" s="1"/>
  <c r="M77"/>
  <c r="N77"/>
  <c r="O77"/>
  <c r="L78"/>
  <c r="P78" s="1"/>
  <c r="M78"/>
  <c r="N78"/>
  <c r="O78"/>
  <c r="L79"/>
  <c r="P79" s="1"/>
  <c r="M79"/>
  <c r="N79"/>
  <c r="O79"/>
  <c r="L80"/>
  <c r="P80" s="1"/>
  <c r="M80"/>
  <c r="N80"/>
  <c r="O80"/>
  <c r="L81"/>
  <c r="P81" s="1"/>
  <c r="M81"/>
  <c r="N81"/>
  <c r="O81"/>
  <c r="L82"/>
  <c r="P82" s="1"/>
  <c r="M82"/>
  <c r="N82"/>
  <c r="O82"/>
  <c r="L83"/>
  <c r="P83" s="1"/>
  <c r="M83"/>
  <c r="N83"/>
  <c r="O83"/>
  <c r="L84"/>
  <c r="P84" s="1"/>
  <c r="M84"/>
  <c r="N84"/>
  <c r="O84"/>
  <c r="L85"/>
  <c r="P85" s="1"/>
  <c r="M85"/>
  <c r="N85"/>
  <c r="O85"/>
  <c r="L86"/>
  <c r="P86" s="1"/>
  <c r="M86"/>
  <c r="N86"/>
  <c r="O86"/>
  <c r="L87"/>
  <c r="P87" s="1"/>
  <c r="M87"/>
  <c r="N87"/>
  <c r="O87"/>
  <c r="L88"/>
  <c r="P88" s="1"/>
  <c r="M88"/>
  <c r="N88"/>
  <c r="O88"/>
  <c r="L89"/>
  <c r="P89" s="1"/>
  <c r="M89"/>
  <c r="N89"/>
  <c r="O89"/>
  <c r="L90"/>
  <c r="P90" s="1"/>
  <c r="M90"/>
  <c r="N90"/>
  <c r="O90"/>
  <c r="L91"/>
  <c r="P91" s="1"/>
  <c r="M91"/>
  <c r="N91"/>
  <c r="O91"/>
  <c r="L96"/>
  <c r="P96" s="1"/>
  <c r="M96"/>
  <c r="N96"/>
  <c r="O96"/>
  <c r="L97"/>
  <c r="P97" s="1"/>
  <c r="M97"/>
  <c r="N97"/>
  <c r="O97"/>
  <c r="L98"/>
  <c r="P98" s="1"/>
  <c r="M98"/>
  <c r="N98"/>
  <c r="O98"/>
  <c r="L99"/>
  <c r="P99" s="1"/>
  <c r="M99"/>
  <c r="N99"/>
  <c r="O99"/>
  <c r="L100"/>
  <c r="P100" s="1"/>
  <c r="M100"/>
  <c r="N100"/>
  <c r="L101"/>
  <c r="P101" s="1"/>
  <c r="M101"/>
  <c r="N101"/>
  <c r="O101"/>
  <c r="L102"/>
  <c r="P102" s="1"/>
  <c r="M102"/>
  <c r="N102"/>
  <c r="O102"/>
  <c r="L103"/>
  <c r="P103" s="1"/>
  <c r="M103"/>
  <c r="N103"/>
  <c r="O103"/>
  <c r="L104"/>
  <c r="P104" s="1"/>
  <c r="M104"/>
  <c r="N104"/>
  <c r="O104"/>
  <c r="L105"/>
  <c r="P105" s="1"/>
  <c r="M105"/>
  <c r="N105"/>
  <c r="O105"/>
  <c r="L106"/>
  <c r="M106"/>
  <c r="N106"/>
  <c r="O106"/>
  <c r="P106"/>
  <c r="M107"/>
  <c r="N107"/>
  <c r="L108"/>
  <c r="P108" s="1"/>
  <c r="M108"/>
  <c r="N108"/>
  <c r="O108"/>
  <c r="M109"/>
  <c r="N109"/>
  <c r="L110"/>
  <c r="P110" s="1"/>
  <c r="M110"/>
  <c r="N110"/>
  <c r="O110"/>
  <c r="L111"/>
  <c r="P111" s="1"/>
  <c r="M111"/>
  <c r="N111"/>
  <c r="O111"/>
  <c r="O112"/>
  <c r="M112"/>
  <c r="N112"/>
  <c r="M113"/>
  <c r="N113"/>
  <c r="L114"/>
  <c r="P114" s="1"/>
  <c r="M114"/>
  <c r="N114"/>
  <c r="O114"/>
  <c r="L119"/>
  <c r="M119"/>
  <c r="N119"/>
  <c r="O119"/>
  <c r="L120"/>
  <c r="P120" s="1"/>
  <c r="M120"/>
  <c r="N120"/>
  <c r="O120"/>
  <c r="L121"/>
  <c r="P121" s="1"/>
  <c r="M121"/>
  <c r="N121"/>
  <c r="O121"/>
  <c r="L122"/>
  <c r="P122" s="1"/>
  <c r="M122"/>
  <c r="N122"/>
  <c r="O122"/>
  <c r="L123"/>
  <c r="P123" s="1"/>
  <c r="M123"/>
  <c r="N123"/>
  <c r="O123"/>
  <c r="L124"/>
  <c r="P124" s="1"/>
  <c r="M124"/>
  <c r="N124"/>
  <c r="O124"/>
  <c r="L125"/>
  <c r="P125" s="1"/>
  <c r="M125"/>
  <c r="N125"/>
  <c r="O125"/>
  <c r="L126"/>
  <c r="P126" s="1"/>
  <c r="M126"/>
  <c r="N126"/>
  <c r="O126"/>
  <c r="L127"/>
  <c r="P127" s="1"/>
  <c r="M127"/>
  <c r="N127"/>
  <c r="O127"/>
  <c r="L128"/>
  <c r="P128" s="1"/>
  <c r="M128"/>
  <c r="N128"/>
  <c r="O128"/>
  <c r="L129"/>
  <c r="P129" s="1"/>
  <c r="M129"/>
  <c r="N129"/>
  <c r="O129"/>
  <c r="M130"/>
  <c r="N130"/>
  <c r="L131"/>
  <c r="P131" s="1"/>
  <c r="M131"/>
  <c r="N131"/>
  <c r="O131"/>
  <c r="H132"/>
  <c r="M132" s="1"/>
  <c r="L132"/>
  <c r="H133"/>
  <c r="M133" s="1"/>
  <c r="L133"/>
  <c r="H134"/>
  <c r="O134" s="1"/>
  <c r="L134"/>
  <c r="H135"/>
  <c r="N135" s="1"/>
  <c r="L135"/>
  <c r="H136"/>
  <c r="N136" s="1"/>
  <c r="L136"/>
  <c r="H137"/>
  <c r="O137" s="1"/>
  <c r="L137"/>
  <c r="L138"/>
  <c r="P138" s="1"/>
  <c r="M138"/>
  <c r="N138"/>
  <c r="O138"/>
  <c r="L139"/>
  <c r="P139" s="1"/>
  <c r="M139"/>
  <c r="N139"/>
  <c r="O139"/>
  <c r="L140"/>
  <c r="P140" s="1"/>
  <c r="M140"/>
  <c r="N140"/>
  <c r="L142"/>
  <c r="P142" s="1"/>
  <c r="M142"/>
  <c r="N142"/>
  <c r="O142"/>
  <c r="L145"/>
  <c r="P145" s="1"/>
  <c r="M145"/>
  <c r="N145"/>
  <c r="L146"/>
  <c r="P146" s="1"/>
  <c r="M146"/>
  <c r="N146"/>
  <c r="O146"/>
  <c r="L147"/>
  <c r="P147" s="1"/>
  <c r="M147"/>
  <c r="N147"/>
  <c r="O147"/>
  <c r="L148"/>
  <c r="P148" s="1"/>
  <c r="M148"/>
  <c r="N148"/>
  <c r="O148"/>
  <c r="L149"/>
  <c r="P149" s="1"/>
  <c r="M149"/>
  <c r="N149"/>
  <c r="O149"/>
  <c r="L150"/>
  <c r="P150" s="1"/>
  <c r="M150"/>
  <c r="N150"/>
  <c r="O150"/>
  <c r="L151"/>
  <c r="P151" s="1"/>
  <c r="M151"/>
  <c r="N151"/>
  <c r="M156"/>
  <c r="N156"/>
  <c r="O157"/>
  <c r="M157"/>
  <c r="N157"/>
  <c r="M159"/>
  <c r="N159"/>
  <c r="L160"/>
  <c r="P160" s="1"/>
  <c r="M160"/>
  <c r="N160"/>
  <c r="O160"/>
  <c r="L161"/>
  <c r="P161" s="1"/>
  <c r="M161"/>
  <c r="N161"/>
  <c r="O161"/>
  <c r="O162"/>
  <c r="M162"/>
  <c r="N162"/>
  <c r="L163"/>
  <c r="P163" s="1"/>
  <c r="M163"/>
  <c r="N163"/>
  <c r="O163"/>
  <c r="H164"/>
  <c r="O164" s="1"/>
  <c r="H165"/>
  <c r="M165" s="1"/>
  <c r="L165"/>
  <c r="H166"/>
  <c r="M166" s="1"/>
  <c r="H167"/>
  <c r="M167" s="1"/>
  <c r="L167"/>
  <c r="H168"/>
  <c r="M168" s="1"/>
  <c r="H170"/>
  <c r="O170" s="1"/>
  <c r="L170"/>
  <c r="L171"/>
  <c r="P171" s="1"/>
  <c r="M171"/>
  <c r="N171"/>
  <c r="O171"/>
  <c r="M172"/>
  <c r="N172"/>
  <c r="L173"/>
  <c r="P173" s="1"/>
  <c r="M173"/>
  <c r="N173"/>
  <c r="O173"/>
  <c r="M174"/>
  <c r="N174"/>
  <c r="L175"/>
  <c r="P175" s="1"/>
  <c r="M175"/>
  <c r="N175"/>
  <c r="O175"/>
  <c r="L176"/>
  <c r="P176" s="1"/>
  <c r="M176"/>
  <c r="N176"/>
  <c r="O176"/>
  <c r="M177"/>
  <c r="N177"/>
  <c r="M178"/>
  <c r="N178"/>
  <c r="M179"/>
  <c r="N179"/>
  <c r="L180"/>
  <c r="P180" s="1"/>
  <c r="M180"/>
  <c r="N180"/>
  <c r="M181"/>
  <c r="N181"/>
  <c r="L186"/>
  <c r="M186"/>
  <c r="N186"/>
  <c r="O186"/>
  <c r="L187"/>
  <c r="P187" s="1"/>
  <c r="M187"/>
  <c r="N187"/>
  <c r="O187"/>
  <c r="L188"/>
  <c r="P188" s="1"/>
  <c r="M188"/>
  <c r="N188"/>
  <c r="O188"/>
  <c r="L189"/>
  <c r="P189" s="1"/>
  <c r="M189"/>
  <c r="N189"/>
  <c r="O189"/>
  <c r="L190"/>
  <c r="P190" s="1"/>
  <c r="M190"/>
  <c r="N190"/>
  <c r="O190"/>
  <c r="L191"/>
  <c r="P191" s="1"/>
  <c r="M191"/>
  <c r="N191"/>
  <c r="O191"/>
  <c r="L192"/>
  <c r="P192" s="1"/>
  <c r="M192"/>
  <c r="N192"/>
  <c r="O192"/>
  <c r="L193"/>
  <c r="P193" s="1"/>
  <c r="M193"/>
  <c r="N193"/>
  <c r="O193"/>
  <c r="L194"/>
  <c r="P194" s="1"/>
  <c r="M194"/>
  <c r="N194"/>
  <c r="O194"/>
  <c r="N195"/>
  <c r="L196"/>
  <c r="P196" s="1"/>
  <c r="M196"/>
  <c r="N196"/>
  <c r="O196"/>
  <c r="H197"/>
  <c r="M197" s="1"/>
  <c r="L197"/>
  <c r="H198"/>
  <c r="M198" s="1"/>
  <c r="H199"/>
  <c r="M199" s="1"/>
  <c r="L199"/>
  <c r="H200"/>
  <c r="N200" s="1"/>
  <c r="L200"/>
  <c r="H201"/>
  <c r="L201"/>
  <c r="L202"/>
  <c r="P202" s="1"/>
  <c r="M202"/>
  <c r="N202"/>
  <c r="O202"/>
  <c r="L203"/>
  <c r="P203" s="1"/>
  <c r="M203"/>
  <c r="N203"/>
  <c r="O203"/>
  <c r="L204"/>
  <c r="P204" s="1"/>
  <c r="M204"/>
  <c r="N204"/>
  <c r="L205"/>
  <c r="P205" s="1"/>
  <c r="M205"/>
  <c r="N205"/>
  <c r="L206"/>
  <c r="P206" s="1"/>
  <c r="M206"/>
  <c r="N206"/>
  <c r="O206"/>
  <c r="L208"/>
  <c r="P208" s="1"/>
  <c r="M208"/>
  <c r="N208"/>
  <c r="O208"/>
  <c r="L209"/>
  <c r="P209" s="1"/>
  <c r="M209"/>
  <c r="N209"/>
  <c r="O209"/>
  <c r="L210"/>
  <c r="P210" s="1"/>
  <c r="M210"/>
  <c r="N210"/>
  <c r="L211"/>
  <c r="P211" s="1"/>
  <c r="M211"/>
  <c r="N211"/>
  <c r="O211"/>
  <c r="N213"/>
  <c r="L322"/>
  <c r="P322" s="1"/>
  <c r="M322"/>
  <c r="N322"/>
  <c r="O322"/>
  <c r="L323"/>
  <c r="P323" s="1"/>
  <c r="M323"/>
  <c r="N323"/>
  <c r="O323"/>
  <c r="L324"/>
  <c r="P324" s="1"/>
  <c r="M324"/>
  <c r="N324"/>
  <c r="O324"/>
  <c r="L325"/>
  <c r="P325" s="1"/>
  <c r="M325"/>
  <c r="N325"/>
  <c r="O325"/>
  <c r="L337"/>
  <c r="P337" s="1"/>
  <c r="M337"/>
  <c r="N337"/>
  <c r="L338"/>
  <c r="P338" s="1"/>
  <c r="M338"/>
  <c r="N338"/>
  <c r="L339"/>
  <c r="P339" s="1"/>
  <c r="N339"/>
  <c r="L343"/>
  <c r="P343" s="1"/>
  <c r="M343"/>
  <c r="N343"/>
  <c r="O343"/>
  <c r="L346"/>
  <c r="M346"/>
  <c r="N346"/>
  <c r="O346"/>
  <c r="P346"/>
  <c r="L349"/>
  <c r="P349" s="1"/>
  <c r="M349"/>
  <c r="N349"/>
  <c r="O349"/>
  <c r="L352"/>
  <c r="P352" s="1"/>
  <c r="M352"/>
  <c r="N352"/>
  <c r="O352"/>
  <c r="L353"/>
  <c r="P353" s="1"/>
  <c r="M353"/>
  <c r="N353"/>
  <c r="O353"/>
  <c r="L358"/>
  <c r="P358" s="1"/>
  <c r="M358"/>
  <c r="N358"/>
  <c r="O358"/>
  <c r="M370"/>
  <c r="N370"/>
  <c r="L371"/>
  <c r="P371" s="1"/>
  <c r="M371"/>
  <c r="N371"/>
  <c r="O371"/>
  <c r="O372"/>
  <c r="P372"/>
  <c r="L373"/>
  <c r="P373" s="1"/>
  <c r="M373"/>
  <c r="O373"/>
  <c r="L374"/>
  <c r="P374" s="1"/>
  <c r="O374"/>
  <c r="N377"/>
  <c r="O377"/>
  <c r="P377"/>
  <c r="L378"/>
  <c r="P378" s="1"/>
  <c r="M378"/>
  <c r="N378"/>
  <c r="O378"/>
  <c r="L382"/>
  <c r="P382" s="1"/>
  <c r="M382"/>
  <c r="N382"/>
  <c r="O382"/>
  <c r="L383"/>
  <c r="P383" s="1"/>
  <c r="M383"/>
  <c r="N383"/>
  <c r="O383"/>
  <c r="L384"/>
  <c r="P384" s="1"/>
  <c r="M384"/>
  <c r="N384"/>
  <c r="O384"/>
  <c r="L385"/>
  <c r="P385" s="1"/>
  <c r="M385"/>
  <c r="N385"/>
  <c r="O385"/>
  <c r="M386"/>
  <c r="N386"/>
  <c r="M387"/>
  <c r="N387"/>
  <c r="O387"/>
  <c r="L388"/>
  <c r="P388" s="1"/>
  <c r="M388"/>
  <c r="N388"/>
  <c r="O388"/>
  <c r="L389"/>
  <c r="P389" s="1"/>
  <c r="M389"/>
  <c r="N389"/>
  <c r="O389"/>
  <c r="L390"/>
  <c r="P390" s="1"/>
  <c r="M390"/>
  <c r="N390"/>
  <c r="O390"/>
  <c r="L391"/>
  <c r="P391" s="1"/>
  <c r="M391"/>
  <c r="N391"/>
  <c r="O391"/>
  <c r="L392"/>
  <c r="P392" s="1"/>
  <c r="M392"/>
  <c r="N392"/>
  <c r="O392"/>
  <c r="L393"/>
  <c r="P393" s="1"/>
  <c r="M393"/>
  <c r="N393"/>
  <c r="O393"/>
  <c r="L394"/>
  <c r="P394" s="1"/>
  <c r="M394"/>
  <c r="N394"/>
  <c r="O394"/>
  <c r="L395"/>
  <c r="P395" s="1"/>
  <c r="M395"/>
  <c r="N395"/>
  <c r="O395"/>
  <c r="L396"/>
  <c r="P396" s="1"/>
  <c r="M396"/>
  <c r="N396"/>
  <c r="O396"/>
  <c r="L397"/>
  <c r="P397" s="1"/>
  <c r="M397"/>
  <c r="N397"/>
  <c r="O397"/>
  <c r="L398"/>
  <c r="P398" s="1"/>
  <c r="M398"/>
  <c r="N398"/>
  <c r="O398"/>
  <c r="L399"/>
  <c r="P399" s="1"/>
  <c r="M399"/>
  <c r="N399"/>
  <c r="O399"/>
  <c r="L400"/>
  <c r="P400" s="1"/>
  <c r="M400"/>
  <c r="N400"/>
  <c r="O400"/>
  <c r="L412"/>
  <c r="P412" s="1"/>
  <c r="M412"/>
  <c r="N412"/>
  <c r="O412"/>
  <c r="L414"/>
  <c r="P414" s="1"/>
  <c r="M414"/>
  <c r="N414"/>
  <c r="O414"/>
  <c r="L415"/>
  <c r="P415" s="1"/>
  <c r="M415"/>
  <c r="N415"/>
  <c r="O415"/>
  <c r="L416"/>
  <c r="P416" s="1"/>
  <c r="M416"/>
  <c r="N416"/>
  <c r="O416"/>
  <c r="L417"/>
  <c r="P417" s="1"/>
  <c r="M417"/>
  <c r="N417"/>
  <c r="O417"/>
  <c r="L418"/>
  <c r="P418" s="1"/>
  <c r="M418"/>
  <c r="N418"/>
  <c r="O418"/>
  <c r="L419"/>
  <c r="P419" s="1"/>
  <c r="M419"/>
  <c r="N419"/>
  <c r="O419"/>
  <c r="L423"/>
  <c r="P423" s="1"/>
  <c r="M423"/>
  <c r="N423"/>
  <c r="O423"/>
  <c r="L424"/>
  <c r="P424" s="1"/>
  <c r="M424"/>
  <c r="N424"/>
  <c r="O424"/>
  <c r="L425"/>
  <c r="P425" s="1"/>
  <c r="M425"/>
  <c r="N425"/>
  <c r="O425"/>
  <c r="L426"/>
  <c r="P426" s="1"/>
  <c r="M426"/>
  <c r="N426"/>
  <c r="O426"/>
  <c r="L427"/>
  <c r="P427" s="1"/>
  <c r="M427"/>
  <c r="N427"/>
  <c r="O427"/>
  <c r="L428"/>
  <c r="P428" s="1"/>
  <c r="M428"/>
  <c r="N428"/>
  <c r="O428"/>
  <c r="L429"/>
  <c r="P429" s="1"/>
  <c r="M429"/>
  <c r="N429"/>
  <c r="O429"/>
  <c r="L430"/>
  <c r="P430" s="1"/>
  <c r="M430"/>
  <c r="N430"/>
  <c r="O430"/>
  <c r="L431"/>
  <c r="P431" s="1"/>
  <c r="M431"/>
  <c r="N431"/>
  <c r="O431"/>
  <c r="L432"/>
  <c r="P432" s="1"/>
  <c r="M432"/>
  <c r="N432"/>
  <c r="O432"/>
  <c r="L433"/>
  <c r="P433" s="1"/>
  <c r="M433"/>
  <c r="N433"/>
  <c r="O433"/>
  <c r="L434"/>
  <c r="P434" s="1"/>
  <c r="M434"/>
  <c r="N434"/>
  <c r="O434"/>
  <c r="L435"/>
  <c r="P435" s="1"/>
  <c r="M435"/>
  <c r="N435"/>
  <c r="O435"/>
  <c r="L436"/>
  <c r="P436" s="1"/>
  <c r="M436"/>
  <c r="N436"/>
  <c r="O436"/>
  <c r="L437"/>
  <c r="P437" s="1"/>
  <c r="M437"/>
  <c r="N437"/>
  <c r="O437"/>
  <c r="L438"/>
  <c r="P438" s="1"/>
  <c r="M438"/>
  <c r="N438"/>
  <c r="O438"/>
  <c r="L439"/>
  <c r="P439" s="1"/>
  <c r="M439"/>
  <c r="N439"/>
  <c r="O439"/>
  <c r="L440"/>
  <c r="P440" s="1"/>
  <c r="M440"/>
  <c r="N440"/>
  <c r="O440"/>
  <c r="L441"/>
  <c r="P441" s="1"/>
  <c r="M441"/>
  <c r="N441"/>
  <c r="O441"/>
  <c r="L442"/>
  <c r="P442" s="1"/>
  <c r="M442"/>
  <c r="N442"/>
  <c r="O442"/>
  <c r="L443"/>
  <c r="P443" s="1"/>
  <c r="M443"/>
  <c r="N443"/>
  <c r="O443"/>
  <c r="L444"/>
  <c r="P444" s="1"/>
  <c r="M444"/>
  <c r="N444"/>
  <c r="O444"/>
  <c r="L445"/>
  <c r="P445" s="1"/>
  <c r="M445"/>
  <c r="N445"/>
  <c r="O445"/>
  <c r="L446"/>
  <c r="P446" s="1"/>
  <c r="M446"/>
  <c r="N446"/>
  <c r="O446"/>
  <c r="L447"/>
  <c r="P447" s="1"/>
  <c r="M447"/>
  <c r="N447"/>
  <c r="O447"/>
  <c r="L448"/>
  <c r="P448" s="1"/>
  <c r="M448"/>
  <c r="N448"/>
  <c r="O448"/>
  <c r="L449"/>
  <c r="P449" s="1"/>
  <c r="M449"/>
  <c r="N449"/>
  <c r="O449"/>
  <c r="L450"/>
  <c r="P450" s="1"/>
  <c r="M450"/>
  <c r="N450"/>
  <c r="O450"/>
  <c r="L451"/>
  <c r="P451" s="1"/>
  <c r="M451"/>
  <c r="N451"/>
  <c r="O451"/>
  <c r="L452"/>
  <c r="P452" s="1"/>
  <c r="M452"/>
  <c r="N452"/>
  <c r="O452"/>
  <c r="L465"/>
  <c r="P465" s="1"/>
  <c r="M465"/>
  <c r="N465"/>
  <c r="O465"/>
  <c r="L466"/>
  <c r="P466" s="1"/>
  <c r="M466"/>
  <c r="N466"/>
  <c r="O466"/>
  <c r="L470"/>
  <c r="P470" s="1"/>
  <c r="M470"/>
  <c r="N470"/>
  <c r="O470"/>
  <c r="L471"/>
  <c r="P471" s="1"/>
  <c r="M471"/>
  <c r="N471"/>
  <c r="O471"/>
  <c r="L472"/>
  <c r="P472" s="1"/>
  <c r="M472"/>
  <c r="N472"/>
  <c r="O472"/>
  <c r="L488"/>
  <c r="M488"/>
  <c r="N488"/>
  <c r="O488"/>
  <c r="P488"/>
  <c r="L489"/>
  <c r="P489" s="1"/>
  <c r="M489"/>
  <c r="N489"/>
  <c r="O489"/>
  <c r="L490"/>
  <c r="P490" s="1"/>
  <c r="M490"/>
  <c r="N490"/>
  <c r="O490"/>
  <c r="L491"/>
  <c r="P491" s="1"/>
  <c r="M491"/>
  <c r="N491"/>
  <c r="O491"/>
  <c r="L492"/>
  <c r="P492" s="1"/>
  <c r="M492"/>
  <c r="N492"/>
  <c r="O492"/>
  <c r="L493"/>
  <c r="P493" s="1"/>
  <c r="M493"/>
  <c r="N493"/>
  <c r="O493"/>
  <c r="L494"/>
  <c r="P494" s="1"/>
  <c r="M494"/>
  <c r="N494"/>
  <c r="O494"/>
  <c r="L495"/>
  <c r="P495" s="1"/>
  <c r="M495"/>
  <c r="N495"/>
  <c r="O495"/>
  <c r="L496"/>
  <c r="P496" s="1"/>
  <c r="M496"/>
  <c r="N496"/>
  <c r="O496"/>
  <c r="L497"/>
  <c r="P497" s="1"/>
  <c r="M497"/>
  <c r="N497"/>
  <c r="O497"/>
  <c r="L498"/>
  <c r="P498" s="1"/>
  <c r="M498"/>
  <c r="N498"/>
  <c r="O498"/>
  <c r="L499"/>
  <c r="P499" s="1"/>
  <c r="M499"/>
  <c r="N499"/>
  <c r="O499"/>
  <c r="L500"/>
  <c r="P500" s="1"/>
  <c r="M500"/>
  <c r="N500"/>
  <c r="O500"/>
  <c r="L501"/>
  <c r="P501" s="1"/>
  <c r="M501"/>
  <c r="N501"/>
  <c r="O501"/>
  <c r="L502"/>
  <c r="P502" s="1"/>
  <c r="M502"/>
  <c r="N502"/>
  <c r="O502"/>
  <c r="L503"/>
  <c r="P503" s="1"/>
  <c r="M503"/>
  <c r="N503"/>
  <c r="O503"/>
  <c r="L504"/>
  <c r="P504" s="1"/>
  <c r="M504"/>
  <c r="N504"/>
  <c r="O504"/>
  <c r="L505"/>
  <c r="P505" s="1"/>
  <c r="M505"/>
  <c r="N505"/>
  <c r="O505"/>
  <c r="L506"/>
  <c r="P506" s="1"/>
  <c r="M506"/>
  <c r="N506"/>
  <c r="O506"/>
  <c r="L507"/>
  <c r="P507" s="1"/>
  <c r="M507"/>
  <c r="N507"/>
  <c r="O507"/>
  <c r="L508"/>
  <c r="P508" s="1"/>
  <c r="M508"/>
  <c r="N508"/>
  <c r="O508"/>
  <c r="L509"/>
  <c r="P509" s="1"/>
  <c r="M509"/>
  <c r="N509"/>
  <c r="O509"/>
  <c r="L510"/>
  <c r="P510" s="1"/>
  <c r="M510"/>
  <c r="N510"/>
  <c r="O510"/>
  <c r="L511"/>
  <c r="P511" s="1"/>
  <c r="M511"/>
  <c r="N511"/>
  <c r="O511"/>
  <c r="L512"/>
  <c r="P512" s="1"/>
  <c r="M512"/>
  <c r="N512"/>
  <c r="O512"/>
  <c r="L513"/>
  <c r="P513" s="1"/>
  <c r="M513"/>
  <c r="N513"/>
  <c r="O513"/>
  <c r="L514"/>
  <c r="P514" s="1"/>
  <c r="M514"/>
  <c r="N514"/>
  <c r="O514"/>
  <c r="L515"/>
  <c r="P515" s="1"/>
  <c r="M515"/>
  <c r="N515"/>
  <c r="O515"/>
  <c r="L516"/>
  <c r="P516" s="1"/>
  <c r="M516"/>
  <c r="N516"/>
  <c r="O516"/>
  <c r="L530"/>
  <c r="P530" s="1"/>
  <c r="M530"/>
  <c r="N530"/>
  <c r="O530"/>
  <c r="L532"/>
  <c r="P532" s="1"/>
  <c r="M532"/>
  <c r="N532"/>
  <c r="O532"/>
  <c r="L533"/>
  <c r="P533" s="1"/>
  <c r="N533"/>
  <c r="O533"/>
  <c r="L534"/>
  <c r="P534" s="1"/>
  <c r="N534"/>
  <c r="O534"/>
  <c r="L535"/>
  <c r="P535" s="1"/>
  <c r="N535"/>
  <c r="O535"/>
  <c r="L536"/>
  <c r="P536" s="1"/>
  <c r="N536"/>
  <c r="O536"/>
  <c r="P537"/>
  <c r="M537"/>
  <c r="N537"/>
  <c r="O537"/>
  <c r="N538"/>
  <c r="P538"/>
  <c r="L539"/>
  <c r="P539" s="1"/>
  <c r="M539"/>
  <c r="N539"/>
  <c r="O539"/>
  <c r="N542"/>
  <c r="L554"/>
  <c r="P554" s="1"/>
  <c r="N554"/>
  <c r="O554"/>
  <c r="L555"/>
  <c r="P555" s="1"/>
  <c r="M555"/>
  <c r="N555"/>
  <c r="O555"/>
  <c r="L556"/>
  <c r="P556" s="1"/>
  <c r="N556"/>
  <c r="L557"/>
  <c r="P557" s="1"/>
  <c r="N557"/>
  <c r="L558"/>
  <c r="P558" s="1"/>
  <c r="N558"/>
  <c r="L559"/>
  <c r="P559" s="1"/>
  <c r="M559"/>
  <c r="N559"/>
  <c r="O559"/>
  <c r="L560"/>
  <c r="P560" s="1"/>
  <c r="M560"/>
  <c r="N560"/>
  <c r="O560"/>
  <c r="L561"/>
  <c r="P561" s="1"/>
  <c r="N561"/>
  <c r="L562"/>
  <c r="P562" s="1"/>
  <c r="N562"/>
  <c r="L563"/>
  <c r="P563" s="1"/>
  <c r="N563"/>
  <c r="L564"/>
  <c r="P564" s="1"/>
  <c r="N564"/>
  <c r="L565"/>
  <c r="P565" s="1"/>
  <c r="N565"/>
  <c r="L566"/>
  <c r="P566" s="1"/>
  <c r="M566"/>
  <c r="N566"/>
  <c r="O566"/>
  <c r="L567"/>
  <c r="P567" s="1"/>
  <c r="M567"/>
  <c r="N567"/>
  <c r="O567"/>
  <c r="L568"/>
  <c r="P568" s="1"/>
  <c r="M568"/>
  <c r="N568"/>
  <c r="O568"/>
  <c r="L569"/>
  <c r="P569" s="1"/>
  <c r="M569"/>
  <c r="N569"/>
  <c r="O569"/>
  <c r="L570"/>
  <c r="P570" s="1"/>
  <c r="M570"/>
  <c r="N570"/>
  <c r="O570"/>
  <c r="L571"/>
  <c r="P571" s="1"/>
  <c r="M571"/>
  <c r="N571"/>
  <c r="O571"/>
  <c r="L572"/>
  <c r="P572" s="1"/>
  <c r="M572"/>
  <c r="N572"/>
  <c r="O572"/>
  <c r="L573"/>
  <c r="P573" s="1"/>
  <c r="M573"/>
  <c r="N573"/>
  <c r="O573"/>
  <c r="L574"/>
  <c r="P574" s="1"/>
  <c r="M574"/>
  <c r="N574"/>
  <c r="O574"/>
  <c r="L575"/>
  <c r="P575" s="1"/>
  <c r="M575"/>
  <c r="N575"/>
  <c r="O575"/>
  <c r="L576"/>
  <c r="P576" s="1"/>
  <c r="N576"/>
  <c r="L577"/>
  <c r="P577" s="1"/>
  <c r="N577"/>
  <c r="L578"/>
  <c r="P578" s="1"/>
  <c r="N578"/>
  <c r="L579"/>
  <c r="P579" s="1"/>
  <c r="N579"/>
  <c r="L580"/>
  <c r="P580" s="1"/>
  <c r="N580"/>
  <c r="L581"/>
  <c r="P581" s="1"/>
  <c r="M581"/>
  <c r="N581"/>
  <c r="O581"/>
  <c r="M625"/>
  <c r="M626" s="1"/>
  <c r="L642"/>
  <c r="M642"/>
  <c r="N642"/>
  <c r="O642"/>
  <c r="L643"/>
  <c r="P643" s="1"/>
  <c r="M643"/>
  <c r="N643"/>
  <c r="O643"/>
  <c r="P644"/>
  <c r="L645"/>
  <c r="P645" s="1"/>
  <c r="M645"/>
  <c r="N645"/>
  <c r="O645"/>
  <c r="L646"/>
  <c r="P646" s="1"/>
  <c r="M646"/>
  <c r="N646"/>
  <c r="O646"/>
  <c r="L647"/>
  <c r="P647" s="1"/>
  <c r="M647"/>
  <c r="N647"/>
  <c r="O647"/>
  <c r="L653"/>
  <c r="P653" s="1"/>
  <c r="M653"/>
  <c r="N653"/>
  <c r="O653"/>
  <c r="L655"/>
  <c r="P655" s="1"/>
  <c r="M655"/>
  <c r="N655"/>
  <c r="O655"/>
  <c r="L659"/>
  <c r="P659" s="1"/>
  <c r="M659"/>
  <c r="N659"/>
  <c r="O659"/>
  <c r="L661"/>
  <c r="P661" s="1"/>
  <c r="M661"/>
  <c r="N661"/>
  <c r="O661"/>
  <c r="L663"/>
  <c r="P663" s="1"/>
  <c r="M663"/>
  <c r="N663"/>
  <c r="O663"/>
  <c r="L665"/>
  <c r="P665" s="1"/>
  <c r="M665"/>
  <c r="N665"/>
  <c r="O665"/>
  <c r="L670"/>
  <c r="P670" s="1"/>
  <c r="M670"/>
  <c r="N670"/>
  <c r="O670"/>
  <c r="L672"/>
  <c r="P672" s="1"/>
  <c r="M672"/>
  <c r="N672"/>
  <c r="O672"/>
  <c r="L674"/>
  <c r="P674" s="1"/>
  <c r="M674"/>
  <c r="N674"/>
  <c r="O674"/>
  <c r="L678"/>
  <c r="P678" s="1"/>
  <c r="M678"/>
  <c r="N678"/>
  <c r="O678"/>
  <c r="L679"/>
  <c r="P679" s="1"/>
  <c r="M679"/>
  <c r="N679"/>
  <c r="O679"/>
  <c r="L680"/>
  <c r="P680" s="1"/>
  <c r="M680"/>
  <c r="N680"/>
  <c r="O680"/>
  <c r="L681"/>
  <c r="M681"/>
  <c r="N681"/>
  <c r="O681"/>
  <c r="P681"/>
  <c r="L682"/>
  <c r="P682" s="1"/>
  <c r="M682"/>
  <c r="N682"/>
  <c r="O682"/>
  <c r="L683"/>
  <c r="M683"/>
  <c r="N683"/>
  <c r="O683"/>
  <c r="P683"/>
  <c r="L684"/>
  <c r="P684" s="1"/>
  <c r="M684"/>
  <c r="N684"/>
  <c r="O684"/>
  <c r="L692"/>
  <c r="P692" s="1"/>
  <c r="M692"/>
  <c r="N692"/>
  <c r="O692"/>
  <c r="L694"/>
  <c r="P694" s="1"/>
  <c r="M694"/>
  <c r="N694"/>
  <c r="O694"/>
  <c r="L696"/>
  <c r="P696" s="1"/>
  <c r="M696"/>
  <c r="N696"/>
  <c r="O696"/>
  <c r="L701"/>
  <c r="P701" s="1"/>
  <c r="M701"/>
  <c r="N701"/>
  <c r="O701"/>
  <c r="L703"/>
  <c r="P703" s="1"/>
  <c r="M703"/>
  <c r="N703"/>
  <c r="O703"/>
  <c r="L705"/>
  <c r="P705" s="1"/>
  <c r="M705"/>
  <c r="N705"/>
  <c r="O705"/>
  <c r="L709"/>
  <c r="P709" s="1"/>
  <c r="M709"/>
  <c r="N709"/>
  <c r="O709"/>
  <c r="L711"/>
  <c r="P711" s="1"/>
  <c r="M711"/>
  <c r="N711"/>
  <c r="O711"/>
  <c r="L713"/>
  <c r="P713" s="1"/>
  <c r="M713"/>
  <c r="N713"/>
  <c r="O713"/>
  <c r="L715"/>
  <c r="P715" s="1"/>
  <c r="M715"/>
  <c r="N715"/>
  <c r="O715"/>
  <c r="L719"/>
  <c r="P719" s="1"/>
  <c r="M719"/>
  <c r="N719"/>
  <c r="O719"/>
  <c r="L721"/>
  <c r="P721" s="1"/>
  <c r="M721"/>
  <c r="N721"/>
  <c r="O721"/>
  <c r="L725"/>
  <c r="P725" s="1"/>
  <c r="M725"/>
  <c r="N725"/>
  <c r="O725"/>
  <c r="L728"/>
  <c r="P728" s="1"/>
  <c r="M728"/>
  <c r="N728"/>
  <c r="O728"/>
  <c r="L731"/>
  <c r="P731" s="1"/>
  <c r="M731"/>
  <c r="N731"/>
  <c r="O731"/>
  <c r="L733"/>
  <c r="M733"/>
  <c r="N733"/>
  <c r="O733"/>
  <c r="P733"/>
  <c r="L736"/>
  <c r="P736" s="1"/>
  <c r="M736"/>
  <c r="N736"/>
  <c r="O736"/>
  <c r="L739"/>
  <c r="M739"/>
  <c r="N739"/>
  <c r="O739"/>
  <c r="P739"/>
  <c r="L754"/>
  <c r="P754" s="1"/>
  <c r="M754"/>
  <c r="N754"/>
  <c r="O754"/>
  <c r="L755"/>
  <c r="P755" s="1"/>
  <c r="M755"/>
  <c r="N755"/>
  <c r="O755"/>
  <c r="L756"/>
  <c r="P756" s="1"/>
  <c r="M756"/>
  <c r="N756"/>
  <c r="O756"/>
  <c r="L757"/>
  <c r="P757" s="1"/>
  <c r="M757"/>
  <c r="N757"/>
  <c r="O757"/>
  <c r="L758"/>
  <c r="P758" s="1"/>
  <c r="M758"/>
  <c r="N758"/>
  <c r="O758"/>
  <c r="L759"/>
  <c r="P759" s="1"/>
  <c r="M759"/>
  <c r="N759"/>
  <c r="O759"/>
  <c r="L760"/>
  <c r="P760" s="1"/>
  <c r="M760"/>
  <c r="N760"/>
  <c r="O760"/>
  <c r="L761"/>
  <c r="M761"/>
  <c r="N761"/>
  <c r="O761"/>
  <c r="P761"/>
  <c r="L771"/>
  <c r="P771" s="1"/>
  <c r="M771"/>
  <c r="N771"/>
  <c r="O771"/>
  <c r="L772"/>
  <c r="M772"/>
  <c r="N772"/>
  <c r="O772"/>
  <c r="P772"/>
  <c r="L773"/>
  <c r="P773" s="1"/>
  <c r="M773"/>
  <c r="N773"/>
  <c r="O773"/>
  <c r="L774"/>
  <c r="P774" s="1"/>
  <c r="M774"/>
  <c r="N774"/>
  <c r="O774"/>
  <c r="L775"/>
  <c r="P775" s="1"/>
  <c r="M775"/>
  <c r="N775"/>
  <c r="O775"/>
  <c r="L777"/>
  <c r="P777" s="1"/>
  <c r="M777"/>
  <c r="N777"/>
  <c r="O777"/>
  <c r="L778"/>
  <c r="L779"/>
  <c r="M780"/>
  <c r="N780"/>
  <c r="L792"/>
  <c r="M792"/>
  <c r="N792"/>
  <c r="O792"/>
  <c r="L793"/>
  <c r="P793" s="1"/>
  <c r="M793"/>
  <c r="N793"/>
  <c r="O793"/>
  <c r="L794"/>
  <c r="P794" s="1"/>
  <c r="M794"/>
  <c r="N794"/>
  <c r="O794"/>
  <c r="L795"/>
  <c r="P795" s="1"/>
  <c r="M795"/>
  <c r="N795"/>
  <c r="O795"/>
  <c r="L796"/>
  <c r="P796" s="1"/>
  <c r="M796"/>
  <c r="N796"/>
  <c r="O796"/>
  <c r="L797"/>
  <c r="P797" s="1"/>
  <c r="M797"/>
  <c r="N797"/>
  <c r="O797"/>
  <c r="L798"/>
  <c r="P798" s="1"/>
  <c r="M798"/>
  <c r="N798"/>
  <c r="O798"/>
  <c r="L799"/>
  <c r="P799" s="1"/>
  <c r="M799"/>
  <c r="N799"/>
  <c r="O799"/>
  <c r="L800"/>
  <c r="P800" s="1"/>
  <c r="M800"/>
  <c r="N800"/>
  <c r="O800"/>
  <c r="L801"/>
  <c r="P801" s="1"/>
  <c r="M801"/>
  <c r="N801"/>
  <c r="O801"/>
  <c r="L1066"/>
  <c r="M1066"/>
  <c r="N1066"/>
  <c r="O1066"/>
  <c r="L1068"/>
  <c r="P1068" s="1"/>
  <c r="M1068"/>
  <c r="N1068"/>
  <c r="O1068"/>
  <c r="L1070"/>
  <c r="P1070" s="1"/>
  <c r="M1070"/>
  <c r="N1070"/>
  <c r="O1070"/>
  <c r="L1072"/>
  <c r="P1072" s="1"/>
  <c r="M1072"/>
  <c r="N1072"/>
  <c r="O1072"/>
  <c r="L1077"/>
  <c r="P1077" s="1"/>
  <c r="M1077"/>
  <c r="N1077"/>
  <c r="O1077"/>
  <c r="L1078"/>
  <c r="P1078" s="1"/>
  <c r="M1078"/>
  <c r="N1078"/>
  <c r="O1078"/>
  <c r="L1081"/>
  <c r="P1081" s="1"/>
  <c r="M1081"/>
  <c r="N1081"/>
  <c r="O1081"/>
  <c r="L1082"/>
  <c r="P1082" s="1"/>
  <c r="M1082"/>
  <c r="N1082"/>
  <c r="O1082"/>
  <c r="L1083"/>
  <c r="P1083" s="1"/>
  <c r="M1083"/>
  <c r="N1083"/>
  <c r="O1083"/>
  <c r="L1084"/>
  <c r="P1084" s="1"/>
  <c r="M1084"/>
  <c r="N1084"/>
  <c r="O1084"/>
  <c r="L1085"/>
  <c r="P1085" s="1"/>
  <c r="M1085"/>
  <c r="N1085"/>
  <c r="O1085"/>
  <c r="L1086"/>
  <c r="P1086" s="1"/>
  <c r="M1086"/>
  <c r="N1086"/>
  <c r="O1086"/>
  <c r="L1087"/>
  <c r="P1087" s="1"/>
  <c r="M1087"/>
  <c r="N1087"/>
  <c r="O1087"/>
  <c r="L1088"/>
  <c r="P1088" s="1"/>
  <c r="M1088"/>
  <c r="N1088"/>
  <c r="O1088"/>
  <c r="L1089"/>
  <c r="P1089" s="1"/>
  <c r="M1089"/>
  <c r="N1089"/>
  <c r="O1089"/>
  <c r="L1092"/>
  <c r="P1092" s="1"/>
  <c r="M1092"/>
  <c r="N1092"/>
  <c r="O1092"/>
  <c r="L1093"/>
  <c r="P1093" s="1"/>
  <c r="M1093"/>
  <c r="N1093"/>
  <c r="O1093"/>
  <c r="L1094"/>
  <c r="P1094" s="1"/>
  <c r="M1094"/>
  <c r="N1094"/>
  <c r="O1094"/>
  <c r="L1095"/>
  <c r="P1095" s="1"/>
  <c r="M1095"/>
  <c r="N1095"/>
  <c r="O1095"/>
  <c r="L1096"/>
  <c r="P1096" s="1"/>
  <c r="M1096"/>
  <c r="N1096"/>
  <c r="O1096"/>
  <c r="L1097"/>
  <c r="P1097" s="1"/>
  <c r="M1097"/>
  <c r="N1097"/>
  <c r="O1097"/>
  <c r="L1099"/>
  <c r="P1099" s="1"/>
  <c r="M1099"/>
  <c r="N1099"/>
  <c r="O1099"/>
  <c r="L1100"/>
  <c r="P1100" s="1"/>
  <c r="M1100"/>
  <c r="N1100"/>
  <c r="O1100"/>
  <c r="L1101"/>
  <c r="P1101" s="1"/>
  <c r="M1101"/>
  <c r="N1101"/>
  <c r="O1101"/>
  <c r="R1101"/>
  <c r="L1104"/>
  <c r="P1104" s="1"/>
  <c r="M1104"/>
  <c r="N1104"/>
  <c r="O1104"/>
  <c r="L1105"/>
  <c r="P1105" s="1"/>
  <c r="M1105"/>
  <c r="N1105"/>
  <c r="O1105"/>
  <c r="L1106"/>
  <c r="P1106" s="1"/>
  <c r="M1106"/>
  <c r="N1106"/>
  <c r="O1106"/>
  <c r="L1107"/>
  <c r="P1107" s="1"/>
  <c r="M1107"/>
  <c r="N1107"/>
  <c r="O1107"/>
  <c r="L1108"/>
  <c r="P1108" s="1"/>
  <c r="M1108"/>
  <c r="N1108"/>
  <c r="O1108"/>
  <c r="L1110"/>
  <c r="P1110" s="1"/>
  <c r="M1110"/>
  <c r="N1110"/>
  <c r="O1110"/>
  <c r="L1114"/>
  <c r="P1114" s="1"/>
  <c r="M1114"/>
  <c r="N1114"/>
  <c r="O1114"/>
  <c r="L1115"/>
  <c r="P1115" s="1"/>
  <c r="M1115"/>
  <c r="N1115"/>
  <c r="O1115"/>
  <c r="L1118"/>
  <c r="P1118" s="1"/>
  <c r="M1118"/>
  <c r="N1118"/>
  <c r="O1118"/>
  <c r="M1122"/>
  <c r="N1122"/>
  <c r="L1125"/>
  <c r="P1125" s="1"/>
  <c r="M1125"/>
  <c r="N1125"/>
  <c r="L1142"/>
  <c r="P1142" s="1"/>
  <c r="M1142"/>
  <c r="N1142"/>
  <c r="O1142"/>
  <c r="L1144"/>
  <c r="P1144" s="1"/>
  <c r="M1144"/>
  <c r="N1144"/>
  <c r="O1144"/>
  <c r="L1146"/>
  <c r="P1146" s="1"/>
  <c r="M1146"/>
  <c r="N1146"/>
  <c r="O1146"/>
  <c r="L1148"/>
  <c r="P1148" s="1"/>
  <c r="M1148"/>
  <c r="N1148"/>
  <c r="O1148"/>
  <c r="L1153"/>
  <c r="P1153" s="1"/>
  <c r="M1153"/>
  <c r="N1153"/>
  <c r="O1153"/>
  <c r="L1156"/>
  <c r="P1156" s="1"/>
  <c r="M1156"/>
  <c r="N1156"/>
  <c r="O1156"/>
  <c r="L1157"/>
  <c r="P1157" s="1"/>
  <c r="M1157"/>
  <c r="N1157"/>
  <c r="O1157"/>
  <c r="L1158"/>
  <c r="P1158" s="1"/>
  <c r="M1158"/>
  <c r="N1158"/>
  <c r="O1158"/>
  <c r="L1161"/>
  <c r="P1161" s="1"/>
  <c r="M1161"/>
  <c r="N1161"/>
  <c r="O1161"/>
  <c r="L1162"/>
  <c r="M1162"/>
  <c r="N1162"/>
  <c r="O1162"/>
  <c r="P1162"/>
  <c r="L1163"/>
  <c r="P1163" s="1"/>
  <c r="M1163"/>
  <c r="N1163"/>
  <c r="O1163"/>
  <c r="L1166"/>
  <c r="P1166" s="1"/>
  <c r="M1166"/>
  <c r="N1166"/>
  <c r="O1166"/>
  <c r="L1167"/>
  <c r="P1167" s="1"/>
  <c r="M1167"/>
  <c r="N1167"/>
  <c r="O1167"/>
  <c r="L1168"/>
  <c r="P1168" s="1"/>
  <c r="M1168"/>
  <c r="N1168"/>
  <c r="O1168"/>
  <c r="L1169"/>
  <c r="P1169" s="1"/>
  <c r="M1169"/>
  <c r="N1169"/>
  <c r="O1169"/>
  <c r="L1170"/>
  <c r="P1170" s="1"/>
  <c r="M1170"/>
  <c r="N1170"/>
  <c r="O1170"/>
  <c r="L1174"/>
  <c r="P1174" s="1"/>
  <c r="M1174"/>
  <c r="N1174"/>
  <c r="O1174"/>
  <c r="L1175"/>
  <c r="P1175" s="1"/>
  <c r="N1175"/>
  <c r="O1175"/>
  <c r="M1178"/>
  <c r="N1178"/>
  <c r="M1182"/>
  <c r="M1186"/>
  <c r="L1197"/>
  <c r="P1197" s="1"/>
  <c r="M1197"/>
  <c r="N1197"/>
  <c r="O1197"/>
  <c r="M1198"/>
  <c r="N1198"/>
  <c r="L1199"/>
  <c r="P1199" s="1"/>
  <c r="M1199"/>
  <c r="N1199"/>
  <c r="O1199"/>
  <c r="M1200"/>
  <c r="N1200"/>
  <c r="M1201"/>
  <c r="N1201"/>
  <c r="M1202"/>
  <c r="N1202"/>
  <c r="M1203"/>
  <c r="N1203"/>
  <c r="M1204"/>
  <c r="N1204"/>
  <c r="L1209"/>
  <c r="P1209" s="1"/>
  <c r="M1209"/>
  <c r="N1209"/>
  <c r="O1209"/>
  <c r="L1210"/>
  <c r="M1210"/>
  <c r="N1210"/>
  <c r="O1210"/>
  <c r="P1210"/>
  <c r="L1211"/>
  <c r="P1211" s="1"/>
  <c r="M1211"/>
  <c r="N1211"/>
  <c r="O1211"/>
  <c r="L1212"/>
  <c r="P1212" s="1"/>
  <c r="M1212"/>
  <c r="N1212"/>
  <c r="O1212"/>
  <c r="L1213"/>
  <c r="P1213" s="1"/>
  <c r="M1213"/>
  <c r="N1213"/>
  <c r="O1213"/>
  <c r="L1214"/>
  <c r="P1214" s="1"/>
  <c r="M1214"/>
  <c r="N1214"/>
  <c r="O1214"/>
  <c r="L1215"/>
  <c r="P1215" s="1"/>
  <c r="M1215"/>
  <c r="N1215"/>
  <c r="O1215"/>
  <c r="L1216"/>
  <c r="P1216" s="1"/>
  <c r="M1216"/>
  <c r="N1216"/>
  <c r="O1216"/>
  <c r="L1217"/>
  <c r="P1217" s="1"/>
  <c r="M1217"/>
  <c r="N1217"/>
  <c r="O1217"/>
  <c r="L1218"/>
  <c r="P1218" s="1"/>
  <c r="M1218"/>
  <c r="N1218"/>
  <c r="O1218"/>
  <c r="L1219"/>
  <c r="P1219" s="1"/>
  <c r="M1219"/>
  <c r="N1219"/>
  <c r="O1219"/>
  <c r="L1220"/>
  <c r="P1220" s="1"/>
  <c r="M1220"/>
  <c r="N1220"/>
  <c r="O1220"/>
  <c r="L1221"/>
  <c r="P1221" s="1"/>
  <c r="M1221"/>
  <c r="N1221"/>
  <c r="O1221"/>
  <c r="L1222"/>
  <c r="P1222" s="1"/>
  <c r="M1222"/>
  <c r="N1222"/>
  <c r="O1222"/>
  <c r="L1223"/>
  <c r="L1224"/>
  <c r="L1225"/>
  <c r="L1226"/>
  <c r="L1227"/>
  <c r="L1228"/>
  <c r="M1228"/>
  <c r="N1228"/>
  <c r="O1228"/>
  <c r="P1228"/>
  <c r="L1229"/>
  <c r="P1229" s="1"/>
  <c r="M1229"/>
  <c r="N1229"/>
  <c r="O1229"/>
  <c r="L1230"/>
  <c r="M1230"/>
  <c r="N1230"/>
  <c r="O1230"/>
  <c r="P1230"/>
  <c r="L1231"/>
  <c r="P1231" s="1"/>
  <c r="M1231"/>
  <c r="N1231"/>
  <c r="O1231"/>
  <c r="L1232"/>
  <c r="P1232" s="1"/>
  <c r="M1232"/>
  <c r="N1232"/>
  <c r="O1232"/>
  <c r="L1233"/>
  <c r="P1233" s="1"/>
  <c r="M1233"/>
  <c r="N1233"/>
  <c r="O1233"/>
  <c r="L1234"/>
  <c r="P1234" s="1"/>
  <c r="M1234"/>
  <c r="N1234"/>
  <c r="O1234"/>
  <c r="L1235"/>
  <c r="P1235" s="1"/>
  <c r="M1235"/>
  <c r="N1235"/>
  <c r="O1235"/>
  <c r="L1236"/>
  <c r="L1237"/>
  <c r="L1238"/>
  <c r="L1239"/>
  <c r="P1239" s="1"/>
  <c r="M1239"/>
  <c r="N1239"/>
  <c r="O1239"/>
  <c r="L1240"/>
  <c r="P1240" s="1"/>
  <c r="M1240"/>
  <c r="N1240"/>
  <c r="O1240"/>
  <c r="L1241"/>
  <c r="P1241" s="1"/>
  <c r="M1241"/>
  <c r="N1241"/>
  <c r="O1241"/>
  <c r="L1242"/>
  <c r="P1242" s="1"/>
  <c r="M1242"/>
  <c r="N1242"/>
  <c r="O1242"/>
  <c r="L1266"/>
  <c r="P1266" s="1"/>
  <c r="M1266"/>
  <c r="N1266"/>
  <c r="O1266"/>
  <c r="L1267"/>
  <c r="M1267"/>
  <c r="N1267"/>
  <c r="O1267"/>
  <c r="P1267"/>
  <c r="L1268"/>
  <c r="P1268" s="1"/>
  <c r="M1268"/>
  <c r="N1268"/>
  <c r="O1268"/>
  <c r="L1269"/>
  <c r="M1269"/>
  <c r="N1269"/>
  <c r="O1269"/>
  <c r="P1269"/>
  <c r="L1270"/>
  <c r="P1270" s="1"/>
  <c r="M1270"/>
  <c r="N1270"/>
  <c r="O1270"/>
  <c r="L1279"/>
  <c r="M1279"/>
  <c r="N1279"/>
  <c r="O1279"/>
  <c r="P1279"/>
  <c r="L1281"/>
  <c r="P1281" s="1"/>
  <c r="M1281"/>
  <c r="N1281"/>
  <c r="O1281"/>
  <c r="L1283"/>
  <c r="P1283" s="1"/>
  <c r="M1283"/>
  <c r="N1283"/>
  <c r="O1283"/>
  <c r="L1285"/>
  <c r="P1285" s="1"/>
  <c r="M1285"/>
  <c r="N1285"/>
  <c r="O1285"/>
  <c r="L1287"/>
  <c r="P1287" s="1"/>
  <c r="M1287"/>
  <c r="N1287"/>
  <c r="O1287"/>
  <c r="L1293"/>
  <c r="P1293" s="1"/>
  <c r="M1293"/>
  <c r="N1293"/>
  <c r="O1293"/>
  <c r="L1297"/>
  <c r="P1297" s="1"/>
  <c r="M1297"/>
  <c r="N1297"/>
  <c r="O1297"/>
  <c r="L1298"/>
  <c r="P1298" s="1"/>
  <c r="M1298"/>
  <c r="N1298"/>
  <c r="O1298"/>
  <c r="L1303"/>
  <c r="P1303" s="1"/>
  <c r="M1303"/>
  <c r="N1303"/>
  <c r="O1303"/>
  <c r="L1307"/>
  <c r="P1307" s="1"/>
  <c r="M1307"/>
  <c r="N1307"/>
  <c r="O1307"/>
  <c r="L1309"/>
  <c r="P1309" s="1"/>
  <c r="M1309"/>
  <c r="N1309"/>
  <c r="O1309"/>
  <c r="L1311"/>
  <c r="P1311" s="1"/>
  <c r="M1311"/>
  <c r="N1311"/>
  <c r="O1311"/>
  <c r="L1313"/>
  <c r="P1313" s="1"/>
  <c r="M1313"/>
  <c r="N1313"/>
  <c r="O1313"/>
  <c r="L1321"/>
  <c r="P1321" s="1"/>
  <c r="M1321"/>
  <c r="N1321"/>
  <c r="O1321"/>
  <c r="L1323"/>
  <c r="P1323" s="1"/>
  <c r="M1323"/>
  <c r="N1323"/>
  <c r="O1323"/>
  <c r="L1325"/>
  <c r="P1325" s="1"/>
  <c r="M1325"/>
  <c r="N1325"/>
  <c r="O1325"/>
  <c r="L1330"/>
  <c r="P1330" s="1"/>
  <c r="M1330"/>
  <c r="N1330"/>
  <c r="O1330"/>
  <c r="L1332"/>
  <c r="P1332" s="1"/>
  <c r="M1332"/>
  <c r="N1332"/>
  <c r="O1332"/>
  <c r="L1334"/>
  <c r="P1334" s="1"/>
  <c r="M1334"/>
  <c r="N1334"/>
  <c r="O1334"/>
  <c r="L1338"/>
  <c r="P1338" s="1"/>
  <c r="M1338"/>
  <c r="N1338"/>
  <c r="O1338"/>
  <c r="L1340"/>
  <c r="M1340"/>
  <c r="N1340"/>
  <c r="O1340"/>
  <c r="P1340"/>
  <c r="M1343"/>
  <c r="N1343"/>
  <c r="O1343"/>
  <c r="L1346"/>
  <c r="P1346" s="1"/>
  <c r="M1346"/>
  <c r="N1346"/>
  <c r="O1346"/>
  <c r="L1351"/>
  <c r="P1351" s="1"/>
  <c r="M1351"/>
  <c r="N1351"/>
  <c r="O1351"/>
  <c r="L1356"/>
  <c r="P1356" s="1"/>
  <c r="M1356"/>
  <c r="N1356"/>
  <c r="O1356"/>
  <c r="L1360"/>
  <c r="P1360" s="1"/>
  <c r="M1360"/>
  <c r="N1360"/>
  <c r="O1360"/>
  <c r="L1362"/>
  <c r="P1362" s="1"/>
  <c r="M1362"/>
  <c r="N1362"/>
  <c r="O1362"/>
  <c r="L1366"/>
  <c r="P1366" s="1"/>
  <c r="M1366"/>
  <c r="N1366"/>
  <c r="O1366"/>
  <c r="L1384"/>
  <c r="M1384"/>
  <c r="N1384"/>
  <c r="O1384"/>
  <c r="L1385"/>
  <c r="P1385" s="1"/>
  <c r="M1385"/>
  <c r="N1385"/>
  <c r="O1385"/>
  <c r="L1386"/>
  <c r="P1386" s="1"/>
  <c r="M1386"/>
  <c r="N1386"/>
  <c r="O1386"/>
  <c r="L1387"/>
  <c r="P1387" s="1"/>
  <c r="M1387"/>
  <c r="N1387"/>
  <c r="O1387"/>
  <c r="L1390"/>
  <c r="P1390" s="1"/>
  <c r="M1390"/>
  <c r="N1390"/>
  <c r="O1390"/>
  <c r="L1392"/>
  <c r="P1392" s="1"/>
  <c r="M1392"/>
  <c r="N1392"/>
  <c r="O1392"/>
  <c r="L1393"/>
  <c r="P1393" s="1"/>
  <c r="M1393"/>
  <c r="N1393"/>
  <c r="O1393"/>
  <c r="L1394"/>
  <c r="P1394" s="1"/>
  <c r="M1394"/>
  <c r="N1394"/>
  <c r="L1395"/>
  <c r="M1395"/>
  <c r="N1395"/>
  <c r="L1396"/>
  <c r="M1396"/>
  <c r="N1396"/>
  <c r="L1397"/>
  <c r="M1397"/>
  <c r="N1397"/>
  <c r="L1398"/>
  <c r="P1398" s="1"/>
  <c r="M1398"/>
  <c r="N1398"/>
  <c r="O1398"/>
  <c r="L1399"/>
  <c r="P1399" s="1"/>
  <c r="M1399"/>
  <c r="N1399"/>
  <c r="O1399"/>
  <c r="L1400"/>
  <c r="P1400" s="1"/>
  <c r="M1400"/>
  <c r="N1400"/>
  <c r="O1400"/>
  <c r="L1401"/>
  <c r="P1401" s="1"/>
  <c r="M1401"/>
  <c r="N1401"/>
  <c r="O1401"/>
  <c r="L1402"/>
  <c r="P1402" s="1"/>
  <c r="M1402"/>
  <c r="N1402"/>
  <c r="O1402"/>
  <c r="L1403"/>
  <c r="M1403"/>
  <c r="N1403"/>
  <c r="O1403"/>
  <c r="P1403"/>
  <c r="M1404"/>
  <c r="N1404"/>
  <c r="L1405"/>
  <c r="P1405" s="1"/>
  <c r="M1405"/>
  <c r="N1405"/>
  <c r="O1405"/>
  <c r="L1406"/>
  <c r="P1406" s="1"/>
  <c r="M1406"/>
  <c r="N1406"/>
  <c r="O1406"/>
  <c r="L1407"/>
  <c r="P1407" s="1"/>
  <c r="M1407"/>
  <c r="N1407"/>
  <c r="O1407"/>
  <c r="L1408"/>
  <c r="P1408" s="1"/>
  <c r="M1408"/>
  <c r="N1408"/>
  <c r="O1408"/>
  <c r="L1409"/>
  <c r="P1409" s="1"/>
  <c r="M1409"/>
  <c r="N1409"/>
  <c r="O1409"/>
  <c r="L1410"/>
  <c r="P1410" s="1"/>
  <c r="M1410"/>
  <c r="N1410"/>
  <c r="O1410"/>
  <c r="L1411"/>
  <c r="P1411" s="1"/>
  <c r="M1411"/>
  <c r="N1411"/>
  <c r="O1411"/>
  <c r="L1417"/>
  <c r="P1417" s="1"/>
  <c r="M1417"/>
  <c r="N1417"/>
  <c r="O1417"/>
  <c r="L1418"/>
  <c r="P1418" s="1"/>
  <c r="M1418"/>
  <c r="N1418"/>
  <c r="O1418"/>
  <c r="L1419"/>
  <c r="P1419" s="1"/>
  <c r="M1419"/>
  <c r="N1419"/>
  <c r="O1419"/>
  <c r="L1420"/>
  <c r="P1420" s="1"/>
  <c r="M1420"/>
  <c r="N1420"/>
  <c r="O1420"/>
  <c r="L1421"/>
  <c r="P1421" s="1"/>
  <c r="M1421"/>
  <c r="N1421"/>
  <c r="O1421"/>
  <c r="L1422"/>
  <c r="P1422" s="1"/>
  <c r="M1422"/>
  <c r="N1422"/>
  <c r="O1422"/>
  <c r="L1423"/>
  <c r="P1423" s="1"/>
  <c r="M1423"/>
  <c r="N1423"/>
  <c r="O1423"/>
  <c r="L1424"/>
  <c r="P1424" s="1"/>
  <c r="M1424"/>
  <c r="N1424"/>
  <c r="O1424"/>
  <c r="L1425"/>
  <c r="P1425" s="1"/>
  <c r="M1425"/>
  <c r="N1425"/>
  <c r="O1425"/>
  <c r="L1426"/>
  <c r="P1426" s="1"/>
  <c r="M1426"/>
  <c r="N1426"/>
  <c r="O1426"/>
  <c r="M1427"/>
  <c r="N1427"/>
  <c r="O1427"/>
  <c r="P1427"/>
  <c r="M1428"/>
  <c r="N1428"/>
  <c r="O1428"/>
  <c r="P1428"/>
  <c r="M1429"/>
  <c r="N1429"/>
  <c r="O1429"/>
  <c r="P1429"/>
  <c r="M1430"/>
  <c r="N1430"/>
  <c r="O1430"/>
  <c r="P1430"/>
  <c r="M1431"/>
  <c r="N1431"/>
  <c r="O1431"/>
  <c r="P1431"/>
  <c r="M1432"/>
  <c r="N1432"/>
  <c r="O1432"/>
  <c r="P1432"/>
  <c r="M1433"/>
  <c r="N1433"/>
  <c r="O1433"/>
  <c r="P1433"/>
  <c r="M1434"/>
  <c r="N1434"/>
  <c r="O1434"/>
  <c r="P1434"/>
  <c r="M1435"/>
  <c r="N1435"/>
  <c r="O1435"/>
  <c r="P1435"/>
  <c r="L1436"/>
  <c r="P1436" s="1"/>
  <c r="M1436"/>
  <c r="N1436"/>
  <c r="O1436"/>
  <c r="L1437"/>
  <c r="M1437"/>
  <c r="N1437"/>
  <c r="O1437"/>
  <c r="P1437"/>
  <c r="L1438"/>
  <c r="P1438" s="1"/>
  <c r="M1438"/>
  <c r="N1438"/>
  <c r="O1438"/>
  <c r="L1439"/>
  <c r="P1439" s="1"/>
  <c r="M1439"/>
  <c r="N1439"/>
  <c r="O1439"/>
  <c r="L1440"/>
  <c r="P1440" s="1"/>
  <c r="M1440"/>
  <c r="N1440"/>
  <c r="O1440"/>
  <c r="L1441"/>
  <c r="P1441" s="1"/>
  <c r="M1441"/>
  <c r="N1441"/>
  <c r="O1441"/>
  <c r="L1442"/>
  <c r="P1442" s="1"/>
  <c r="M1442"/>
  <c r="N1442"/>
  <c r="O1442"/>
  <c r="L1443"/>
  <c r="P1443" s="1"/>
  <c r="M1443"/>
  <c r="N1443"/>
  <c r="O1443"/>
  <c r="L1444"/>
  <c r="P1444" s="1"/>
  <c r="M1444"/>
  <c r="N1444"/>
  <c r="O1444"/>
  <c r="L1445"/>
  <c r="P1445" s="1"/>
  <c r="M1445"/>
  <c r="N1445"/>
  <c r="O1445"/>
  <c r="L1446"/>
  <c r="P1446" s="1"/>
  <c r="M1446"/>
  <c r="N1446"/>
  <c r="O1446"/>
  <c r="L1447"/>
  <c r="P1447" s="1"/>
  <c r="M1447"/>
  <c r="N1447"/>
  <c r="O1447"/>
  <c r="L1448"/>
  <c r="P1448" s="1"/>
  <c r="M1448"/>
  <c r="N1448"/>
  <c r="O1448"/>
  <c r="L1449"/>
  <c r="P1449" s="1"/>
  <c r="M1449"/>
  <c r="N1449"/>
  <c r="L1454"/>
  <c r="P1454" s="1"/>
  <c r="M1454"/>
  <c r="N1454"/>
  <c r="L1457"/>
  <c r="P1457" s="1"/>
  <c r="M1457"/>
  <c r="N1457"/>
  <c r="L1458"/>
  <c r="P1458" s="1"/>
  <c r="M1458"/>
  <c r="N1458"/>
  <c r="L1459"/>
  <c r="P1459" s="1"/>
  <c r="M1459"/>
  <c r="N1459"/>
  <c r="L1460"/>
  <c r="P1460" s="1"/>
  <c r="M1460"/>
  <c r="N1460"/>
  <c r="L1461"/>
  <c r="P1461" s="1"/>
  <c r="M1461"/>
  <c r="N1461"/>
  <c r="L1462"/>
  <c r="P1462" s="1"/>
  <c r="M1462"/>
  <c r="N1462"/>
  <c r="G33" i="8"/>
  <c r="G64" s="1"/>
  <c r="K16" i="9"/>
  <c r="M20"/>
  <c r="K23"/>
  <c r="L27"/>
  <c r="N32"/>
  <c r="D41"/>
  <c r="D49" s="1"/>
  <c r="G25"/>
  <c r="O181" i="6"/>
  <c r="O172"/>
  <c r="L172"/>
  <c r="P172" s="1"/>
  <c r="L157"/>
  <c r="P157" s="1"/>
  <c r="L162"/>
  <c r="P162" s="1"/>
  <c r="L1122"/>
  <c r="P1122" s="1"/>
  <c r="O1122"/>
  <c r="O113"/>
  <c r="O109"/>
  <c r="O180"/>
  <c r="O625"/>
  <c r="O626" s="1"/>
  <c r="O151"/>
  <c r="L780"/>
  <c r="P780" s="1"/>
  <c r="O140"/>
  <c r="L112"/>
  <c r="P112" s="1"/>
  <c r="L1198"/>
  <c r="P1198" s="1"/>
  <c r="L181"/>
  <c r="P181" s="1"/>
  <c r="L213"/>
  <c r="P213" s="1"/>
  <c r="O1202"/>
  <c r="L1182"/>
  <c r="P1182" s="1"/>
  <c r="O1178"/>
  <c r="O1204"/>
  <c r="L1200"/>
  <c r="P1200" s="1"/>
  <c r="L1203"/>
  <c r="P1203" s="1"/>
  <c r="O204"/>
  <c r="O1201"/>
  <c r="O542"/>
  <c r="K422"/>
  <c r="K477"/>
  <c r="O477" s="1"/>
  <c r="L164"/>
  <c r="O1005"/>
  <c r="O976"/>
  <c r="O332"/>
  <c r="O552"/>
  <c r="L548"/>
  <c r="P548" s="1"/>
  <c r="L544"/>
  <c r="P544" s="1"/>
  <c r="L546"/>
  <c r="P546" s="1"/>
  <c r="L550"/>
  <c r="P550" s="1"/>
  <c r="L485"/>
  <c r="P485" s="1"/>
  <c r="L483"/>
  <c r="P483" s="1"/>
  <c r="L481"/>
  <c r="P481" s="1"/>
  <c r="L479"/>
  <c r="P479" s="1"/>
  <c r="O212"/>
  <c r="L212"/>
  <c r="P212" s="1"/>
  <c r="L166"/>
  <c r="L130"/>
  <c r="P130" s="1"/>
  <c r="O130"/>
  <c r="O985"/>
  <c r="O1022"/>
  <c r="O1025"/>
  <c r="L970"/>
  <c r="L995"/>
  <c r="P995" s="1"/>
  <c r="O1014"/>
  <c r="L999"/>
  <c r="P999" s="1"/>
  <c r="O973"/>
  <c r="L979"/>
  <c r="P979" s="1"/>
  <c r="O949"/>
  <c r="O195"/>
  <c r="L195"/>
  <c r="P195" s="1"/>
  <c r="O940"/>
  <c r="L940"/>
  <c r="P940" s="1"/>
  <c r="O962"/>
  <c r="L962"/>
  <c r="P962" s="1"/>
  <c r="L376"/>
  <c r="L938"/>
  <c r="P938" s="1"/>
  <c r="O938"/>
  <c r="L946"/>
  <c r="P946" s="1"/>
  <c r="O946"/>
  <c r="L952"/>
  <c r="P952" s="1"/>
  <c r="O952"/>
  <c r="L956"/>
  <c r="P956" s="1"/>
  <c r="O956"/>
  <c r="O335"/>
  <c r="L335"/>
  <c r="P335" s="1"/>
  <c r="L942"/>
  <c r="P942" s="1"/>
  <c r="L931"/>
  <c r="P931" s="1"/>
  <c r="O958"/>
  <c r="L958"/>
  <c r="P958" s="1"/>
  <c r="L329"/>
  <c r="P329" s="1"/>
  <c r="L960"/>
  <c r="P960" s="1"/>
  <c r="O954"/>
  <c r="L944"/>
  <c r="P944" s="1"/>
  <c r="L934"/>
  <c r="P934" s="1"/>
  <c r="L988"/>
  <c r="P988" s="1"/>
  <c r="O988"/>
  <c r="L1002"/>
  <c r="P1002" s="1"/>
  <c r="O1002"/>
  <c r="O982"/>
  <c r="L982"/>
  <c r="P982" s="1"/>
  <c r="O992"/>
  <c r="L992"/>
  <c r="P992" s="1"/>
  <c r="L1008"/>
  <c r="P1008" s="1"/>
  <c r="O1008"/>
  <c r="O1011"/>
  <c r="L1011"/>
  <c r="P1011" s="1"/>
  <c r="L1017"/>
  <c r="P1017" s="1"/>
  <c r="O1017"/>
  <c r="L158"/>
  <c r="P158" s="1"/>
  <c r="L232"/>
  <c r="N167" l="1"/>
  <c r="M135"/>
  <c r="N622"/>
  <c r="N137"/>
  <c r="N165"/>
  <c r="M92"/>
  <c r="P132"/>
  <c r="O622"/>
  <c r="P622" s="1"/>
  <c r="O197"/>
  <c r="O820"/>
  <c r="O813"/>
  <c r="P167"/>
  <c r="P134"/>
  <c r="M1271"/>
  <c r="M589"/>
  <c r="P170"/>
  <c r="M115"/>
  <c r="O49"/>
  <c r="M964"/>
  <c r="M1028"/>
  <c r="N1028"/>
  <c r="O198"/>
  <c r="M164"/>
  <c r="M1463"/>
  <c r="M525"/>
  <c r="N115"/>
  <c r="N459"/>
  <c r="P164"/>
  <c r="O133"/>
  <c r="M200"/>
  <c r="M49"/>
  <c r="O135"/>
  <c r="O165"/>
  <c r="N362"/>
  <c r="M362"/>
  <c r="N964"/>
  <c r="N132"/>
  <c r="P166"/>
  <c r="N166"/>
  <c r="N170"/>
  <c r="N197"/>
  <c r="P137"/>
  <c r="M201"/>
  <c r="O201"/>
  <c r="P201"/>
  <c r="O166"/>
  <c r="M170"/>
  <c r="N168"/>
  <c r="N241"/>
  <c r="O1271"/>
  <c r="N589"/>
  <c r="P165"/>
  <c r="M1378"/>
  <c r="N802"/>
  <c r="O802"/>
  <c r="P802" s="1"/>
  <c r="M802"/>
  <c r="N525"/>
  <c r="M459"/>
  <c r="N407"/>
  <c r="O92"/>
  <c r="N92"/>
  <c r="N1189"/>
  <c r="P1189"/>
  <c r="K38" i="8" s="1"/>
  <c r="P135" i="6"/>
  <c r="M137"/>
  <c r="N134"/>
  <c r="M134"/>
  <c r="O199"/>
  <c r="N199"/>
  <c r="O167"/>
  <c r="O132"/>
  <c r="M136"/>
  <c r="O200"/>
  <c r="P200"/>
  <c r="N133"/>
  <c r="P133"/>
  <c r="O168"/>
  <c r="N164"/>
  <c r="P199"/>
  <c r="N201"/>
  <c r="P136"/>
  <c r="O136"/>
  <c r="O1189"/>
  <c r="M1189"/>
  <c r="N1271"/>
  <c r="N1127"/>
  <c r="O1127"/>
  <c r="M1127"/>
  <c r="O788"/>
  <c r="M788"/>
  <c r="N788"/>
  <c r="O386"/>
  <c r="L370"/>
  <c r="P370" s="1"/>
  <c r="L622"/>
  <c r="O159"/>
  <c r="O1463"/>
  <c r="N1378"/>
  <c r="O1378"/>
  <c r="M622"/>
  <c r="K26" i="8"/>
  <c r="P241" i="6"/>
  <c r="L281"/>
  <c r="P281" s="1"/>
  <c r="O281"/>
  <c r="L280"/>
  <c r="P280" s="1"/>
  <c r="O280"/>
  <c r="O278"/>
  <c r="L278"/>
  <c r="P278" s="1"/>
  <c r="O275"/>
  <c r="L275"/>
  <c r="P275" s="1"/>
  <c r="P245"/>
  <c r="M241"/>
  <c r="P186"/>
  <c r="P119"/>
  <c r="L152"/>
  <c r="P56"/>
  <c r="L92"/>
  <c r="M407"/>
  <c r="P970"/>
  <c r="P1384"/>
  <c r="P1463" s="1"/>
  <c r="K44" i="8" s="1"/>
  <c r="L1463" i="6"/>
  <c r="P1066"/>
  <c r="P1127" s="1"/>
  <c r="K37" i="8" s="1"/>
  <c r="P792" i="6"/>
  <c r="P642"/>
  <c r="P788" s="1"/>
  <c r="K29" i="8" s="1"/>
  <c r="P197" i="6"/>
  <c r="M237"/>
  <c r="N238"/>
  <c r="P376"/>
  <c r="O376"/>
  <c r="L422"/>
  <c r="O107"/>
  <c r="O115" s="1"/>
  <c r="K115"/>
  <c r="L156"/>
  <c r="L25" i="21"/>
  <c r="L107" i="6"/>
  <c r="L109"/>
  <c r="P109" s="1"/>
  <c r="M245"/>
  <c r="N245"/>
  <c r="L113"/>
  <c r="P113" s="1"/>
  <c r="N1463"/>
  <c r="P1271"/>
  <c r="K46" i="8" s="1"/>
  <c r="P1378" i="6"/>
  <c r="K40" i="8" s="1"/>
  <c r="P168" i="6"/>
  <c r="O237"/>
  <c r="L1025"/>
  <c r="P1025" s="1"/>
  <c r="O422"/>
  <c r="O240"/>
  <c r="L1022"/>
  <c r="P1022" s="1"/>
  <c r="P964"/>
  <c r="K59" i="8" s="1"/>
  <c r="P362" i="6"/>
  <c r="K24" i="8" s="1"/>
  <c r="L542" i="6"/>
  <c r="P542" s="1"/>
  <c r="L477"/>
  <c r="P477" s="1"/>
  <c r="P525" s="1"/>
  <c r="L174"/>
  <c r="P174" s="1"/>
  <c r="O964"/>
  <c r="M240"/>
  <c r="O362"/>
  <c r="P220"/>
  <c r="P232"/>
  <c r="P226"/>
  <c r="O1028"/>
  <c r="P237"/>
  <c r="P235"/>
  <c r="O317" l="1"/>
  <c r="K30" i="8"/>
  <c r="K33" s="1"/>
  <c r="P92" i="6"/>
  <c r="K14" i="8" s="1"/>
  <c r="O152" i="6"/>
  <c r="M182"/>
  <c r="M590"/>
  <c r="N182"/>
  <c r="P182" s="1"/>
  <c r="M214"/>
  <c r="N152"/>
  <c r="M152"/>
  <c r="P152"/>
  <c r="K17" i="8" s="1"/>
  <c r="N590" i="6"/>
  <c r="O590"/>
  <c r="N317"/>
  <c r="M317"/>
  <c r="P407"/>
  <c r="K590"/>
  <c r="P1028"/>
  <c r="K60" i="8" s="1"/>
  <c r="L1028" i="6"/>
  <c r="P107"/>
  <c r="P115" s="1"/>
  <c r="K15" i="8" s="1"/>
  <c r="L115" i="6"/>
  <c r="P156"/>
  <c r="P422"/>
  <c r="P459" s="1"/>
  <c r="L590"/>
  <c r="L26" i="21"/>
  <c r="P317" i="6" l="1"/>
  <c r="Q6"/>
  <c r="Q8"/>
  <c r="Q1290" s="1"/>
  <c r="K20" i="8"/>
  <c r="K22" s="1"/>
  <c r="S198" i="6"/>
  <c r="K25" i="8"/>
  <c r="N812" i="6"/>
  <c r="L812"/>
  <c r="P812" s="1"/>
  <c r="N47"/>
  <c r="N49" s="1"/>
  <c r="L47"/>
  <c r="P47" s="1"/>
  <c r="P49" l="1"/>
  <c r="L49"/>
  <c r="K12" i="8" l="1"/>
  <c r="N813" i="6"/>
  <c r="N839" s="1"/>
  <c r="L813"/>
  <c r="P813" s="1"/>
  <c r="K49" i="8" s="1"/>
  <c r="K53" s="1"/>
  <c r="N198" i="6"/>
  <c r="N214" s="1"/>
  <c r="L198"/>
  <c r="P198" s="1"/>
  <c r="P214" s="1"/>
  <c r="K19" i="8" s="1"/>
  <c r="L214" i="6" l="1"/>
  <c r="O177" l="1"/>
  <c r="L177"/>
  <c r="L179" l="1"/>
  <c r="P179" s="1"/>
  <c r="O179"/>
  <c r="L178"/>
  <c r="P178" s="1"/>
  <c r="O178"/>
  <c r="O214" s="1"/>
  <c r="P177"/>
  <c r="K18" i="8" l="1"/>
  <c r="S167" i="6"/>
  <c r="L182"/>
  <c r="S159" l="1"/>
  <c r="S186"/>
  <c r="S215"/>
  <c r="K64" i="8" l="1"/>
  <c r="H20" i="9" l="1"/>
  <c r="G34" s="1"/>
  <c r="D44" s="1"/>
  <c r="D45" s="1"/>
  <c r="Q441" i="6"/>
  <c r="Q440"/>
  <c r="N33" i="9" l="1"/>
  <c r="G30"/>
  <c r="G40" s="1"/>
  <c r="H23"/>
  <c r="D47"/>
  <c r="D48" s="1"/>
  <c r="D50" s="1"/>
  <c r="D51" s="1"/>
</calcChain>
</file>

<file path=xl/sharedStrings.xml><?xml version="1.0" encoding="utf-8"?>
<sst xmlns="http://schemas.openxmlformats.org/spreadsheetml/2006/main" count="4002" uniqueCount="1428">
  <si>
    <t xml:space="preserve">Contractor </t>
  </si>
  <si>
    <t>Trust Construction Plc</t>
  </si>
  <si>
    <t>Project / site:</t>
  </si>
  <si>
    <t>Item No: (only one item per sheet</t>
  </si>
  <si>
    <t>Take-off Sheet</t>
  </si>
  <si>
    <t>Lot:</t>
  </si>
  <si>
    <t>Prepared by:</t>
  </si>
  <si>
    <t>Payment:</t>
  </si>
  <si>
    <t>Sheet No:</t>
  </si>
  <si>
    <t>Building ID / Infra Component:</t>
  </si>
  <si>
    <t>Date:</t>
  </si>
  <si>
    <t>Description / Drawing / Sketch:</t>
  </si>
  <si>
    <t>Number</t>
  </si>
  <si>
    <t>Dimension</t>
  </si>
  <si>
    <t>Quantity</t>
  </si>
  <si>
    <t>Contractor:</t>
  </si>
  <si>
    <t>MH E RE:</t>
  </si>
  <si>
    <t>GTZ-IS SM:</t>
  </si>
  <si>
    <t>Name:</t>
  </si>
  <si>
    <t>Signature and Stamp:</t>
  </si>
  <si>
    <t>exceeding 3000mm</t>
  </si>
  <si>
    <t>exceeding 4500mm</t>
  </si>
  <si>
    <t>Emergency Storage Tank</t>
  </si>
  <si>
    <t>At=14.4*37.00=537.98</t>
  </si>
  <si>
    <t>Ab=10.94*33.54=325.4</t>
  </si>
  <si>
    <t>Imhot Tank</t>
  </si>
  <si>
    <t>exceeding 6000mm</t>
  </si>
  <si>
    <t>exceeding 7500mm</t>
  </si>
  <si>
    <t>exceeding 9000mm</t>
  </si>
  <si>
    <r>
      <t xml:space="preserve">V=1/3h(At + Ab + </t>
    </r>
    <r>
      <rPr>
        <sz val="11"/>
        <color indexed="8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At * Ab )</t>
    </r>
  </si>
  <si>
    <r>
      <t xml:space="preserve">V=1/3*1.00(532.8+  366.49+ </t>
    </r>
    <r>
      <rPr>
        <sz val="11"/>
        <color indexed="8"/>
        <rFont val="Calibri"/>
        <family val="2"/>
      </rPr>
      <t>√</t>
    </r>
    <r>
      <rPr>
        <sz val="11"/>
        <color theme="1"/>
        <rFont val="Calibri"/>
        <family val="2"/>
        <scheme val="minor"/>
      </rPr>
      <t>532.8*366.49)</t>
    </r>
  </si>
  <si>
    <t>V= 447.06M3</t>
  </si>
  <si>
    <t>At=10.94*33.54=366.93</t>
  </si>
  <si>
    <t>Ab=9.2*31.8=292.56</t>
  </si>
  <si>
    <r>
      <t xml:space="preserve">V=1/3*.5(366.93+  292.56+ </t>
    </r>
    <r>
      <rPr>
        <sz val="11"/>
        <color indexed="8"/>
        <rFont val="Calibri"/>
        <family val="2"/>
      </rPr>
      <t>√366.93</t>
    </r>
    <r>
      <rPr>
        <sz val="11"/>
        <color theme="1"/>
        <rFont val="Calibri"/>
        <family val="2"/>
        <scheme val="minor"/>
      </rPr>
      <t>*292.56)</t>
    </r>
  </si>
  <si>
    <t>V=164.52M3</t>
  </si>
  <si>
    <t>At=28.64*35.44=1015.00</t>
  </si>
  <si>
    <t>Ab=25.18*31.98=805.26</t>
  </si>
  <si>
    <r>
      <t xml:space="preserve">V=1/3*1.00(1015+  805.26+ </t>
    </r>
    <r>
      <rPr>
        <sz val="11"/>
        <color indexed="8"/>
        <rFont val="Calibri"/>
        <family val="2"/>
      </rPr>
      <t>√1015</t>
    </r>
    <r>
      <rPr>
        <sz val="11"/>
        <color theme="1"/>
        <rFont val="Calibri"/>
        <family val="2"/>
        <scheme val="minor"/>
      </rPr>
      <t>*805.26)</t>
    </r>
  </si>
  <si>
    <t>V=908.11M3</t>
  </si>
  <si>
    <t>At=25.18*31.98=805.26</t>
  </si>
  <si>
    <t>Ab=19.98*26.78=535.06</t>
  </si>
  <si>
    <r>
      <t xml:space="preserve">V=1/3*1.5(805.26 +  535.06+ </t>
    </r>
    <r>
      <rPr>
        <sz val="11"/>
        <color indexed="8"/>
        <rFont val="Calibri"/>
        <family val="2"/>
      </rPr>
      <t>√805.26</t>
    </r>
    <r>
      <rPr>
        <sz val="11"/>
        <color theme="1"/>
        <rFont val="Calibri"/>
        <family val="2"/>
        <scheme val="minor"/>
      </rPr>
      <t>*535.06)</t>
    </r>
  </si>
  <si>
    <t>At=19.78*26.78=529.71</t>
  </si>
  <si>
    <t>Ab=*14.78*21.58=318.95</t>
  </si>
  <si>
    <r>
      <t xml:space="preserve">V=1/3*1.5(529.71+  318.95+ </t>
    </r>
    <r>
      <rPr>
        <sz val="11"/>
        <color indexed="8"/>
        <rFont val="Calibri"/>
        <family val="2"/>
      </rPr>
      <t>√529.71</t>
    </r>
    <r>
      <rPr>
        <sz val="11"/>
        <color theme="1"/>
        <rFont val="Calibri"/>
        <family val="2"/>
        <scheme val="minor"/>
      </rPr>
      <t>*318.95)</t>
    </r>
  </si>
  <si>
    <t>V=629.85M3</t>
  </si>
  <si>
    <t>V=998.36M3</t>
  </si>
  <si>
    <t>At=14.78*21.58=318.95</t>
  </si>
  <si>
    <t>Ab=9.58*16.38=156.92</t>
  </si>
  <si>
    <r>
      <t xml:space="preserve">V=1/3*1.5(318.95.+  156.92+ </t>
    </r>
    <r>
      <rPr>
        <sz val="11"/>
        <color indexed="8"/>
        <rFont val="Calibri"/>
        <family val="2"/>
      </rPr>
      <t>√318.95</t>
    </r>
    <r>
      <rPr>
        <sz val="11"/>
        <color theme="1"/>
        <rFont val="Calibri"/>
        <family val="2"/>
        <scheme val="minor"/>
      </rPr>
      <t>*156.92)</t>
    </r>
  </si>
  <si>
    <t>V=349.79M3</t>
  </si>
  <si>
    <r>
      <t xml:space="preserve">V=1/3h(At + Ab + </t>
    </r>
    <r>
      <rPr>
        <sz val="11"/>
        <color indexed="8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 At * Ab )</t>
    </r>
  </si>
  <si>
    <t>At=9.58*16.38=156.92</t>
  </si>
  <si>
    <t>Ab=8.2*15.00=123</t>
  </si>
  <si>
    <t>V=55.85M3</t>
  </si>
  <si>
    <r>
      <t xml:space="preserve">V=1/3*.4(156.92+  123+ </t>
    </r>
    <r>
      <rPr>
        <sz val="11"/>
        <color indexed="8"/>
        <rFont val="Calibri"/>
        <family val="2"/>
      </rPr>
      <t>√156.92</t>
    </r>
    <r>
      <rPr>
        <sz val="11"/>
        <color theme="1"/>
        <rFont val="Calibri"/>
        <family val="2"/>
        <scheme val="minor"/>
      </rPr>
      <t>*123)</t>
    </r>
  </si>
  <si>
    <t>UCBP/Semera</t>
  </si>
  <si>
    <t>Pit excavation ( Rock)</t>
  </si>
  <si>
    <t>exceeding 3000mm              ( Rock)</t>
  </si>
  <si>
    <t>(Rock)</t>
  </si>
  <si>
    <t>page No:</t>
  </si>
  <si>
    <t>3.1 Excavation and earth work</t>
  </si>
  <si>
    <t>15/04/2011</t>
  </si>
  <si>
    <t>6.1 Excavation and earth work</t>
  </si>
  <si>
    <t>3.1.2 Pit excavation to a depth  exceeding 1500mm but not</t>
  </si>
  <si>
    <t>3.1.3Pit excavation to a depth  exceeding 3000mm but not</t>
  </si>
  <si>
    <t>6.1.2 Pit excavation to a depth  exceeding 1500mm but not</t>
  </si>
  <si>
    <t>6.1.3 Pit excavation to a depth  exceeding 3000mm but not</t>
  </si>
  <si>
    <t>6.1.4 Pit excavation to a depth  exceeding 4500mm but not</t>
  </si>
  <si>
    <t>6.1.5 Pit excavation to a depth  exceeding 6000mm but not</t>
  </si>
  <si>
    <t>6.1.6 Pit excavation to a depth  exceeding 7500mm but not</t>
  </si>
  <si>
    <t>15.3 CONCRETE WORK</t>
  </si>
  <si>
    <t>Location</t>
  </si>
  <si>
    <t>Shape</t>
  </si>
  <si>
    <t xml:space="preserve">No of </t>
  </si>
  <si>
    <t xml:space="preserve"> </t>
  </si>
  <si>
    <t>TRUST CONSTRUCTION</t>
  </si>
  <si>
    <t xml:space="preserve">   Qty.</t>
  </si>
  <si>
    <t>Amount ( Birr)</t>
  </si>
  <si>
    <t xml:space="preserve">Item </t>
  </si>
  <si>
    <t xml:space="preserve">              Description</t>
  </si>
  <si>
    <t>unit</t>
  </si>
  <si>
    <t xml:space="preserve">   rate</t>
  </si>
  <si>
    <t>Contract</t>
  </si>
  <si>
    <t>LOT-1</t>
  </si>
  <si>
    <t>1.SITE PREPARATION</t>
  </si>
  <si>
    <t xml:space="preserve">Site clearing </t>
  </si>
  <si>
    <t>Ha</t>
  </si>
  <si>
    <t>3 EMERGENCY RETENTION TANK</t>
  </si>
  <si>
    <t>CIVIL WORK</t>
  </si>
  <si>
    <t>3.1 EXCAVATION &amp; EARTH WORK</t>
  </si>
  <si>
    <t xml:space="preserve">Pit excavation in ordinary soil for retention tank </t>
  </si>
  <si>
    <t xml:space="preserve"> to a depth not exceeding 1500mm</t>
  </si>
  <si>
    <t xml:space="preserve">Ditto  but to a depth exceeding 1500mm but </t>
  </si>
  <si>
    <t>not exceeding 3000mm</t>
  </si>
  <si>
    <t xml:space="preserve">Ditto as  but to a depth exceeding 3000mm </t>
  </si>
  <si>
    <t xml:space="preserve">but not exceeding 4500mm </t>
  </si>
  <si>
    <t xml:space="preserve">Fill around RC wall in non expansive excavated </t>
  </si>
  <si>
    <t xml:space="preserve">material from site </t>
  </si>
  <si>
    <t xml:space="preserve">Load and cartaway surplus excavated material </t>
  </si>
  <si>
    <t>50mm lean concrete quality C-5</t>
  </si>
  <si>
    <t xml:space="preserve">Provide cut and fix in position sawn structural </t>
  </si>
  <si>
    <t>kg</t>
  </si>
  <si>
    <t xml:space="preserve">wood or steel formwork </t>
  </si>
  <si>
    <t xml:space="preserve">Ditto  but to a depth exceeding 3000mm but </t>
  </si>
  <si>
    <t>not exceeding 4500mm</t>
  </si>
  <si>
    <t>material from the site</t>
  </si>
  <si>
    <t>to an appropriate tip</t>
  </si>
  <si>
    <t>b) Dia.12mm deformed bar</t>
  </si>
  <si>
    <t>a) Dia.8mm deformed bar</t>
  </si>
  <si>
    <t>Fill around RC wall in non expansive excavated</t>
  </si>
  <si>
    <t>c) Dia.14mm deformed bar</t>
  </si>
  <si>
    <t>Pit excavation in ordinary soil to a depth not</t>
  </si>
  <si>
    <t>exceeding 1500mm</t>
  </si>
  <si>
    <t>A SUB STRUCTURE</t>
  </si>
  <si>
    <t xml:space="preserve">Pit excavation for footing to a depth not </t>
  </si>
  <si>
    <t>exceeding 1500mm in ordinary soil</t>
  </si>
  <si>
    <t xml:space="preserve">Fill around foundation and building </t>
  </si>
  <si>
    <t>Fill under hard core with non expansive material</t>
  </si>
  <si>
    <t>250mm thick basaltic stone hardcore</t>
  </si>
  <si>
    <t>a) Under footing</t>
  </si>
  <si>
    <t>b) Under floor slab &amp; beam</t>
  </si>
  <si>
    <t>Reinforced concrete quality C-25</t>
  </si>
  <si>
    <t>a) To footing</t>
  </si>
  <si>
    <t>b) To foundation column</t>
  </si>
  <si>
    <t>c) To Grade beam</t>
  </si>
  <si>
    <t>d) To 100mm thick ground floor slab</t>
  </si>
  <si>
    <t>b) Dia.10mm deformed bar</t>
  </si>
  <si>
    <t>d) Dia.16mm deformed bar</t>
  </si>
  <si>
    <t>B SUPER STRUCTURE</t>
  </si>
  <si>
    <t>a) To elevation columns</t>
  </si>
  <si>
    <t>b) To floor beams</t>
  </si>
  <si>
    <t>c) To top tie beam</t>
  </si>
  <si>
    <t>LOT-2</t>
  </si>
  <si>
    <t>Bulk excavation</t>
  </si>
  <si>
    <t>9.1 EXCAVATION &amp; EARTH WORK</t>
  </si>
  <si>
    <t xml:space="preserve">material from the site </t>
  </si>
  <si>
    <t>Previous</t>
  </si>
  <si>
    <t>Current</t>
  </si>
  <si>
    <t>To-Date</t>
  </si>
  <si>
    <t>m3</t>
  </si>
  <si>
    <t>Grand Total</t>
  </si>
  <si>
    <t>3.1.1</t>
  </si>
  <si>
    <t>3.1.2</t>
  </si>
  <si>
    <t>3.1.3</t>
  </si>
  <si>
    <t>3.1.4</t>
  </si>
  <si>
    <t>3.1.5</t>
  </si>
  <si>
    <t>11.1.1.1</t>
  </si>
  <si>
    <t>11.1.1.2</t>
  </si>
  <si>
    <t>11.1.1.3</t>
  </si>
  <si>
    <t>11.1.1.4</t>
  </si>
  <si>
    <t>11.1.1.5</t>
  </si>
  <si>
    <t>9.1.1</t>
  </si>
  <si>
    <t>9.1.2</t>
  </si>
  <si>
    <t>9.1.3</t>
  </si>
  <si>
    <t>SERVICE BUILDING</t>
  </si>
  <si>
    <t>SLUDGE DRYING BED</t>
  </si>
  <si>
    <t>Item</t>
  </si>
  <si>
    <t>Block/work</t>
  </si>
  <si>
    <t>EMERGENCY RETENTION TANK</t>
  </si>
  <si>
    <t>SAND TRAP</t>
  </si>
  <si>
    <t>IMHOFF TANK</t>
  </si>
  <si>
    <t>TOTAL</t>
  </si>
  <si>
    <t>SITE PREPARATION</t>
  </si>
  <si>
    <t>SUMMARY OF STATEMENT</t>
  </si>
  <si>
    <t>DETAILS OF WORKS EXCUTED AND/OR MATERIALS SUPPLIED</t>
  </si>
  <si>
    <t xml:space="preserve">                 GRAND TOTAL</t>
  </si>
  <si>
    <t>Contractor_________________</t>
  </si>
  <si>
    <t>e^¨&lt;</t>
  </si>
  <si>
    <t xml:space="preserve">Project </t>
  </si>
  <si>
    <t>Amount (Birr)</t>
  </si>
  <si>
    <t>x¨&lt;</t>
  </si>
  <si>
    <t xml:space="preserve">                        Main contract</t>
  </si>
  <si>
    <t>›W]¨&lt; S/u?ƒ</t>
  </si>
  <si>
    <t>Owner</t>
  </si>
  <si>
    <t>¾e^ }s^ß</t>
  </si>
  <si>
    <t xml:space="preserve">                      Variation Order</t>
  </si>
  <si>
    <t>Contractor</t>
  </si>
  <si>
    <t>›T"] SN”Ç=c</t>
  </si>
  <si>
    <t>consultant</t>
  </si>
  <si>
    <t xml:space="preserve">                      Total sum</t>
  </si>
  <si>
    <t>›v] uJ’¨&lt; ¾¡õÁ c’É ØÁo SW[ƒ cŸ ³_ }s^Û ¾c^¨&lt; c^</t>
  </si>
  <si>
    <t>As per the attached statement the value of work executed to date is</t>
  </si>
  <si>
    <r>
      <t xml:space="preserve">   }../</t>
    </r>
    <r>
      <rPr>
        <b/>
        <i/>
        <sz val="10"/>
        <rFont val="Book Antiqua"/>
        <family val="1"/>
      </rPr>
      <t>VAT 15%/</t>
    </r>
  </si>
  <si>
    <r>
      <t>ÖpLL/</t>
    </r>
    <r>
      <rPr>
        <b/>
        <i/>
        <sz val="10"/>
        <rFont val="Book Antiqua"/>
        <family val="1"/>
      </rPr>
      <t>TOTAL/</t>
    </r>
  </si>
  <si>
    <t>lØ`</t>
  </si>
  <si>
    <t>k”</t>
  </si>
  <si>
    <t>¾Ñ”²u&lt; M¡ w`</t>
  </si>
  <si>
    <t xml:space="preserve">      Deduction</t>
  </si>
  <si>
    <t>No</t>
  </si>
  <si>
    <t>Date</t>
  </si>
  <si>
    <t>Amount Br.</t>
  </si>
  <si>
    <t xml:space="preserve"> œckÉV ¾}ŸðK</t>
  </si>
  <si>
    <t xml:space="preserve">  Previous payment</t>
  </si>
  <si>
    <t>p“i</t>
  </si>
  <si>
    <t xml:space="preserve"> Rebate 4%</t>
  </si>
  <si>
    <t>SÁ¹</t>
  </si>
  <si>
    <t xml:space="preserve"> Retention 5%</t>
  </si>
  <si>
    <t>SkÝ</t>
  </si>
  <si>
    <t xml:space="preserve">  Penalty</t>
  </si>
  <si>
    <t xml:space="preserve"> ¾pÉT&gt;Á ¡õÁ</t>
  </si>
  <si>
    <t xml:space="preserve"> K?L</t>
  </si>
  <si>
    <t xml:space="preserve">  Others</t>
  </si>
  <si>
    <t xml:space="preserve">  ÉU`</t>
  </si>
  <si>
    <r>
      <t xml:space="preserve">                         </t>
    </r>
    <r>
      <rPr>
        <b/>
        <i/>
        <sz val="9"/>
        <rFont val="Arial"/>
        <family val="2"/>
      </rPr>
      <t xml:space="preserve">   Total</t>
    </r>
  </si>
  <si>
    <r>
      <t xml:space="preserve"> </t>
    </r>
    <r>
      <rPr>
        <i/>
        <sz val="8"/>
        <rFont val="Ge'ez-1"/>
        <family val="2"/>
      </rPr>
      <t>ÖpLL ለ}s^ß ¾T&gt;ŸðM Ñ”²w</t>
    </r>
  </si>
  <si>
    <t>Amount of advance taken birr</t>
  </si>
  <si>
    <t xml:space="preserve">   Total sum due to the contractor</t>
  </si>
  <si>
    <t>This payment repaid advance</t>
  </si>
  <si>
    <t>Out standing advance repayment</t>
  </si>
  <si>
    <r>
      <t xml:space="preserve">                      </t>
    </r>
    <r>
      <rPr>
        <b/>
        <i/>
        <u/>
        <sz val="9"/>
        <rFont val="Times New Roman"/>
        <family val="1"/>
      </rPr>
      <t xml:space="preserve"> </t>
    </r>
  </si>
  <si>
    <t>___________________</t>
  </si>
  <si>
    <t>__________________</t>
  </si>
  <si>
    <r>
      <t>}[ÒÓ</t>
    </r>
    <r>
      <rPr>
        <i/>
        <sz val="12"/>
        <rFont val="Visual Geez Unicode"/>
      </rPr>
      <t>ጧ</t>
    </r>
    <r>
      <rPr>
        <i/>
        <sz val="12"/>
        <rFont val="Ge'ez-1"/>
        <family val="2"/>
      </rPr>
      <t xml:space="preserve">M                                </t>
    </r>
  </si>
  <si>
    <t>çÉsM</t>
  </si>
  <si>
    <t xml:space="preserve">Certified </t>
  </si>
  <si>
    <t xml:space="preserve">  Approved</t>
  </si>
  <si>
    <t>VAT PAYMENT</t>
  </si>
  <si>
    <t>Total Executed Amount</t>
  </si>
  <si>
    <t>Total 15 % VAT</t>
  </si>
  <si>
    <t>Previous VAT</t>
  </si>
  <si>
    <t>Net VAT Payable on this paym.</t>
  </si>
  <si>
    <t>Total pay.to cont.inc.15%VAT</t>
  </si>
  <si>
    <t>MH ENGINEERING</t>
  </si>
  <si>
    <t>GIZ IS</t>
  </si>
  <si>
    <r>
      <t xml:space="preserve">Contract No - </t>
    </r>
    <r>
      <rPr>
        <b/>
        <sz val="10"/>
        <rFont val="Arial"/>
        <family val="2"/>
      </rPr>
      <t xml:space="preserve"> </t>
    </r>
  </si>
  <si>
    <t>Load and cart awy surplus excavated material</t>
  </si>
  <si>
    <t>3.2 CONCRETE WORK</t>
  </si>
  <si>
    <t>3.2.1</t>
  </si>
  <si>
    <t xml:space="preserve">50mm lean concrete quality c-5, with minimum cement </t>
  </si>
  <si>
    <t>a/Under bottom slab</t>
  </si>
  <si>
    <t>3.2.2</t>
  </si>
  <si>
    <t>Water tight reinforced concrete quality c-30,400kg</t>
  </si>
  <si>
    <t xml:space="preserve">of cement/m3 and complast WP-400 or equivalent </t>
  </si>
  <si>
    <t>water tightadmixture 8 lit/m3 filled in to formwork</t>
  </si>
  <si>
    <t>a/In RC 400mmthick bottom slab</t>
  </si>
  <si>
    <t>b/ In RC 150mmthick bottom slab</t>
  </si>
  <si>
    <t>c/ In RC 400mm wall</t>
  </si>
  <si>
    <t xml:space="preserve">Provide,cut and fix in position sawn structural wood </t>
  </si>
  <si>
    <t>or steel form work which ever is appropriate</t>
  </si>
  <si>
    <t>b/ In RC 400mm wall</t>
  </si>
  <si>
    <t>a/In RC bottom slab</t>
  </si>
  <si>
    <t xml:space="preserve">Mild steel reinforcement according to structural </t>
  </si>
  <si>
    <t>drawings.</t>
  </si>
  <si>
    <t>a)Dia 12mmdeformed bar</t>
  </si>
  <si>
    <t>b)Dia 16mm deformed bar</t>
  </si>
  <si>
    <t>10mm thick 150mm deep water proof expansion joint</t>
  </si>
  <si>
    <t>filled with impervios joint filler material</t>
  </si>
  <si>
    <t xml:space="preserve">Install aproved quality PVC water stopper at </t>
  </si>
  <si>
    <t>construction joints</t>
  </si>
  <si>
    <t>3.2.6</t>
  </si>
  <si>
    <t>3.2.4</t>
  </si>
  <si>
    <t>3.2.3</t>
  </si>
  <si>
    <t>ML</t>
  </si>
  <si>
    <t>9.2.1</t>
  </si>
  <si>
    <t>9.2.2</t>
  </si>
  <si>
    <t>9.2.3</t>
  </si>
  <si>
    <t>9.2.4</t>
  </si>
  <si>
    <t>9.2.5</t>
  </si>
  <si>
    <t>9.2.6</t>
  </si>
  <si>
    <t>b/ In RC 300mm wall</t>
  </si>
  <si>
    <t>b)Dia 14mm deformed bar</t>
  </si>
  <si>
    <t>Supply,fabricate and mount wood truss according to</t>
  </si>
  <si>
    <t>the structural drawing</t>
  </si>
  <si>
    <t>a) Eucalyptes wood upper &amp; lower members Dia 100mm</t>
  </si>
  <si>
    <t>Dia 100mm</t>
  </si>
  <si>
    <t xml:space="preserve">b) Eucalyptes wood vertical &amp; diagonal members </t>
  </si>
  <si>
    <t>a) Under bottom slab</t>
  </si>
  <si>
    <t>Mild steel reinforcement summary</t>
  </si>
  <si>
    <t>Bulk excavation all over the water threatment plant area</t>
  </si>
  <si>
    <t>Clearing and grubbing</t>
  </si>
  <si>
    <t>SITE ROAD</t>
  </si>
  <si>
    <r>
      <t>M</t>
    </r>
    <r>
      <rPr>
        <vertAlign val="superscript"/>
        <sz val="12"/>
        <rFont val="Cambria"/>
        <family val="1"/>
      </rPr>
      <t>3</t>
    </r>
  </si>
  <si>
    <r>
      <t>content of150kg/m</t>
    </r>
    <r>
      <rPr>
        <vertAlign val="superscript"/>
        <sz val="12"/>
        <rFont val="Cambria"/>
        <family val="1"/>
      </rPr>
      <t xml:space="preserve">3 </t>
    </r>
    <r>
      <rPr>
        <sz val="12"/>
        <rFont val="Cambria"/>
        <family val="1"/>
      </rPr>
      <t>of concrete</t>
    </r>
  </si>
  <si>
    <r>
      <t>M</t>
    </r>
    <r>
      <rPr>
        <vertAlign val="superscript"/>
        <sz val="12"/>
        <rFont val="Cambria"/>
        <family val="1"/>
      </rPr>
      <t>2</t>
    </r>
  </si>
  <si>
    <t>STORM WATER DRAINAGE</t>
  </si>
  <si>
    <t>SITE SANITARY WORK</t>
  </si>
  <si>
    <t>SITE ELECTRICAL WORK</t>
  </si>
  <si>
    <t>STAND BY GENERATOR</t>
  </si>
  <si>
    <t>SCREENING UNIT</t>
  </si>
  <si>
    <t>PARSHALL FLUME</t>
  </si>
  <si>
    <t>AERATION TANK</t>
  </si>
  <si>
    <t>UV DISINFECTION SYSTEM</t>
  </si>
  <si>
    <t>PROJECT:     DESSE UCBP INFRASTRUCTURE AND WWTP(LOT 1 &amp; LOT 2)</t>
  </si>
  <si>
    <t>SEDIMENTATION TANK</t>
  </si>
  <si>
    <t>DOMESTIC WATER SUPPLY SYSTEM</t>
  </si>
  <si>
    <t>VARIATION WORK</t>
  </si>
  <si>
    <t>BOULDER MATERIAL</t>
  </si>
  <si>
    <t>PROJECT:     DESSIE  UCBP WWTP</t>
  </si>
  <si>
    <t>1.1.1</t>
  </si>
  <si>
    <t>1.1.2</t>
  </si>
  <si>
    <t>1.1.3</t>
  </si>
  <si>
    <t>1.1.4</t>
  </si>
  <si>
    <t>Trench excavation</t>
  </si>
  <si>
    <t>1.2 CONCRETE WORK</t>
  </si>
  <si>
    <t>1.2.1</t>
  </si>
  <si>
    <t>50mm lean concrete quality c-5</t>
  </si>
  <si>
    <t xml:space="preserve">a) Under strip foundation </t>
  </si>
  <si>
    <t>1.2.2</t>
  </si>
  <si>
    <t>Reinforced concrete quality c-25</t>
  </si>
  <si>
    <t>a) In strip foundation</t>
  </si>
  <si>
    <t>1.2.3</t>
  </si>
  <si>
    <t>Provide,cut and fix in position of form work</t>
  </si>
  <si>
    <t>a) To strip foundation</t>
  </si>
  <si>
    <t>1.2.4</t>
  </si>
  <si>
    <t>Mild steel reinforcement</t>
  </si>
  <si>
    <t>a) Dia 8mm deformed bar</t>
  </si>
  <si>
    <t>1.2 MASONRY WORK</t>
  </si>
  <si>
    <t xml:space="preserve">Average 1200mm thick hard trachytic </t>
  </si>
  <si>
    <t xml:space="preserve">roughly dressed stone masonry retaining </t>
  </si>
  <si>
    <t>wall bedded in cement mortar 1:3</t>
  </si>
  <si>
    <t xml:space="preserve">                                          Total carried to summary</t>
  </si>
  <si>
    <t>b)Dia 12mmdeformed bar</t>
  </si>
  <si>
    <t>a)Dia 10mmdeformed bar</t>
  </si>
  <si>
    <t>c)Dia 14mmdeformed bar</t>
  </si>
  <si>
    <t>Bulk excavation in ordinary soil to a depth of 1.5m</t>
  </si>
  <si>
    <t>Sub-Total-1</t>
  </si>
  <si>
    <t xml:space="preserve">50mm lean concrete quality c-5, with minimum </t>
  </si>
  <si>
    <r>
      <t>cement content of150kg/m</t>
    </r>
    <r>
      <rPr>
        <vertAlign val="superscript"/>
        <sz val="12"/>
        <rFont val="Cambria"/>
        <family val="1"/>
      </rPr>
      <t xml:space="preserve">3 </t>
    </r>
    <r>
      <rPr>
        <sz val="12"/>
        <rFont val="Cambria"/>
        <family val="1"/>
      </rPr>
      <t>of concrete</t>
    </r>
  </si>
  <si>
    <t xml:space="preserve">9.2 CONCRETE WORK  </t>
  </si>
  <si>
    <t>Sub-Total-2</t>
  </si>
  <si>
    <t>15. SERVICE BUILDING</t>
  </si>
  <si>
    <t>15.1 EXCAVATION &amp; EARTH WORK</t>
  </si>
  <si>
    <t>15.1.1</t>
  </si>
  <si>
    <t>15.1.2</t>
  </si>
  <si>
    <t>15.1.3</t>
  </si>
  <si>
    <t>15.1.4</t>
  </si>
  <si>
    <t>15.1.5</t>
  </si>
  <si>
    <t>15.2 CONCRETE WORK</t>
  </si>
  <si>
    <t>15.2.1</t>
  </si>
  <si>
    <t>15.2.2</t>
  </si>
  <si>
    <t>15.2.3</t>
  </si>
  <si>
    <t>15.2.4</t>
  </si>
  <si>
    <t>15.3.1</t>
  </si>
  <si>
    <t>15.3.2</t>
  </si>
  <si>
    <t>15.3.3</t>
  </si>
  <si>
    <t>15.6.4</t>
  </si>
  <si>
    <t>15.4  BLOCK WORK</t>
  </si>
  <si>
    <t>15.4.1</t>
  </si>
  <si>
    <t>Class C, 190mm thick wall with 1:3 mortar</t>
  </si>
  <si>
    <t>15.4.2</t>
  </si>
  <si>
    <t>Class C, 90mm thick wall with 1:3 mortar</t>
  </si>
  <si>
    <t>15.5  ROOFING</t>
  </si>
  <si>
    <t>15.5.1</t>
  </si>
  <si>
    <t xml:space="preserve">G-28 CIS roof cover </t>
  </si>
  <si>
    <t>15.5.2</t>
  </si>
  <si>
    <t>G-28 Galvanized sheet metal gutter</t>
  </si>
  <si>
    <t>devt. Length=840mm</t>
  </si>
  <si>
    <t>15.5.3</t>
  </si>
  <si>
    <t>15.5.4</t>
  </si>
  <si>
    <t>devt. Length=310mm</t>
  </si>
  <si>
    <t>G-28 Galvanized sheet metal gutter down pipe</t>
  </si>
  <si>
    <t>15.5.5</t>
  </si>
  <si>
    <t>Ditto but copping with gutter flashing</t>
  </si>
  <si>
    <t>devt. Length=475mm</t>
  </si>
  <si>
    <t>15.5.6</t>
  </si>
  <si>
    <t>Ditto but copping with capping</t>
  </si>
  <si>
    <t>devt. Length=265mm</t>
  </si>
  <si>
    <t>c)Sawn zigba wood roof purlins</t>
  </si>
  <si>
    <t>16. SITE ROAD</t>
  </si>
  <si>
    <t>carriage way</t>
  </si>
  <si>
    <t>ha</t>
  </si>
  <si>
    <t>1.3.2.1 EXCAVATION AND EARTH WORK</t>
  </si>
  <si>
    <t>1.3.2.1.1</t>
  </si>
  <si>
    <t>clear and remove top soil</t>
  </si>
  <si>
    <t>1.3.2.1.2</t>
  </si>
  <si>
    <t>Pit excavation to 1500mm in ordinary soil</t>
  </si>
  <si>
    <t>1.3.2.1.3</t>
  </si>
  <si>
    <t>1.3.2.1.4</t>
  </si>
  <si>
    <t>Fill around foundation</t>
  </si>
  <si>
    <t>Cart away excavated material</t>
  </si>
  <si>
    <t>1.3.2.2  CONCRETE WORK</t>
  </si>
  <si>
    <t>1.3.2.2.1</t>
  </si>
  <si>
    <t>Lean concrete under</t>
  </si>
  <si>
    <t>a) Footing</t>
  </si>
  <si>
    <t>b) Grade beam</t>
  </si>
  <si>
    <t>1.3.2.2.2</t>
  </si>
  <si>
    <t>C-25 reinforced concrete to</t>
  </si>
  <si>
    <t>b) Foundation column</t>
  </si>
  <si>
    <t>c) Grade beam</t>
  </si>
  <si>
    <t>d)Elevation column</t>
  </si>
  <si>
    <t>e) Intermediate beam</t>
  </si>
  <si>
    <t>f) Top tie beam</t>
  </si>
  <si>
    <t>g) Bottom slab</t>
  </si>
  <si>
    <t>h) Reservoir wall</t>
  </si>
  <si>
    <t>i) top slab cover</t>
  </si>
  <si>
    <t>1.3.2.2.3</t>
  </si>
  <si>
    <t>Form work to</t>
  </si>
  <si>
    <t>1.3.2.2.4</t>
  </si>
  <si>
    <t>Reinforcement bar</t>
  </si>
  <si>
    <t>a) Dia  8mm</t>
  </si>
  <si>
    <t>b) Dia  10mm</t>
  </si>
  <si>
    <t>c) Dia  12mm</t>
  </si>
  <si>
    <t>d) Dia  14mm</t>
  </si>
  <si>
    <t>e) Dia  16mm</t>
  </si>
  <si>
    <t>1.3.2.2.5</t>
  </si>
  <si>
    <t>PVC wsater stopper</t>
  </si>
  <si>
    <t>1.3.2.3 finishing work</t>
  </si>
  <si>
    <t>Form work to:-</t>
  </si>
  <si>
    <t>1.3.2.3.1</t>
  </si>
  <si>
    <t>Apply three coats of plastering to</t>
  </si>
  <si>
    <t>a) Internal RC sutface of reservoir</t>
  </si>
  <si>
    <t>500 M3capacity ground water reservoir</t>
  </si>
  <si>
    <t>1.3.4.1 EXCAVATION AND EARTH WORK</t>
  </si>
  <si>
    <t>1.3.4.1.1</t>
  </si>
  <si>
    <t>1.3.4.1.2</t>
  </si>
  <si>
    <t>1.3.4.1.3</t>
  </si>
  <si>
    <t>1.3.4.1.4</t>
  </si>
  <si>
    <t>1.3.4.2  CONCRETE WORK</t>
  </si>
  <si>
    <t>1.3.4.2.1</t>
  </si>
  <si>
    <t>C-5 lean concrete</t>
  </si>
  <si>
    <t>a) Bottom slab</t>
  </si>
  <si>
    <t>1.3.4.2.2</t>
  </si>
  <si>
    <t>C-35 reinforced concrete</t>
  </si>
  <si>
    <t>1.3.4.2.3</t>
  </si>
  <si>
    <t>with compression connection</t>
  </si>
  <si>
    <t>Dia 20mm</t>
  </si>
  <si>
    <t>Dia 25mm</t>
  </si>
  <si>
    <t>Dia 32mm</t>
  </si>
  <si>
    <t>Dia 40mm</t>
  </si>
  <si>
    <t>Dia 50mm</t>
  </si>
  <si>
    <t>Dia 75mm</t>
  </si>
  <si>
    <t>Dia 90mm</t>
  </si>
  <si>
    <t>with fussion connection</t>
  </si>
  <si>
    <t>Dia 125mm</t>
  </si>
  <si>
    <t>Dia 150mm</t>
  </si>
  <si>
    <t>Dia 200mm</t>
  </si>
  <si>
    <t>Dia 250mm</t>
  </si>
  <si>
    <t>Ditto but with RC cover</t>
  </si>
  <si>
    <t>PUMP HOUSE</t>
  </si>
  <si>
    <t>Clear and remove top soil</t>
  </si>
  <si>
    <t>a) To Grade beam</t>
  </si>
  <si>
    <t>50mm lean concrete quality C-5 under</t>
  </si>
  <si>
    <t>a)  Grade beam</t>
  </si>
  <si>
    <t>b)  150mm thick ground floor slab</t>
  </si>
  <si>
    <t>a) ground floor slab and beam</t>
  </si>
  <si>
    <t>C-25 reiforced concrete</t>
  </si>
  <si>
    <t>1. EXCAVATION &amp; EARTH WORK</t>
  </si>
  <si>
    <t xml:space="preserve"> 2.CONCRETE WORK</t>
  </si>
  <si>
    <t>Mild steel reinforcement bar</t>
  </si>
  <si>
    <t>c) Dia.12mm deformed bar</t>
  </si>
  <si>
    <t>d) Dia.14mm deformed bar</t>
  </si>
  <si>
    <t>1. CONCRETE WORK</t>
  </si>
  <si>
    <t>b) To roof beams</t>
  </si>
  <si>
    <t>c) To lintel</t>
  </si>
  <si>
    <t>CENTRAL MAIN DISTRIBUTION BOARD</t>
  </si>
  <si>
    <t>CMDB-3</t>
  </si>
  <si>
    <t>CMDB-5</t>
  </si>
  <si>
    <t>SUB DISTRIBUTION PILLAR</t>
  </si>
  <si>
    <t>SDP-1/1</t>
  </si>
  <si>
    <t>SDP-1/2</t>
  </si>
  <si>
    <t>SDP-4/1</t>
  </si>
  <si>
    <t>SDP-4/4</t>
  </si>
  <si>
    <t>SDP-5/2</t>
  </si>
  <si>
    <t>SDP-1/3</t>
  </si>
  <si>
    <t>SDP-1/4</t>
  </si>
  <si>
    <t>SDP-5/3</t>
  </si>
  <si>
    <t>SDP-3/2</t>
  </si>
  <si>
    <t>SDP-4/5</t>
  </si>
  <si>
    <t>SDP-5/5</t>
  </si>
  <si>
    <t>POWER DISTRIBUTION SYSTEM</t>
  </si>
  <si>
    <t xml:space="preserve">a) PVC sheathed pvc insulated underground cable  </t>
  </si>
  <si>
    <t>type NYY 0.6/1KV of (3x150/70+1x70) sq mm</t>
  </si>
  <si>
    <t>from transformer to CMDBs</t>
  </si>
  <si>
    <t>b) (3x150/70+1x70)sq mm from CMDBs to SDPs</t>
  </si>
  <si>
    <t>C) (3X120/70+1X70)sq mm from CMDBs to SDPs</t>
  </si>
  <si>
    <t>d) (3x95/50+1x50)sq mm from CMDBs to SDPs</t>
  </si>
  <si>
    <t>e) (3x70/35+1x35)sq mm from CMDBs to SDPs</t>
  </si>
  <si>
    <t>f) (3x50/25+1x25)sq mm from CMDBs to SDPs</t>
  </si>
  <si>
    <t>g) (3x35/16+1x16)sq mm from CMDBs to SDPs</t>
  </si>
  <si>
    <t>h) (3x120/70+1x70)sq mm from SDPs to building</t>
  </si>
  <si>
    <t>i)(3x95/50+1x50)sq mm from SDPs to building</t>
  </si>
  <si>
    <t>j) (3x70/35+1x35)sq mm from SDPs to building</t>
  </si>
  <si>
    <t>k) (3x50/25+1x25)sqa mm from SDPs to building</t>
  </si>
  <si>
    <t>l) (3x35/16+1x16)sq mm from SDPs to building</t>
  </si>
  <si>
    <t>m) (3x25/16+1x16)sq mm from SDPs to building</t>
  </si>
  <si>
    <t>n) (5x16)sq mm from SDPs to building</t>
  </si>
  <si>
    <t>p) (5x6) sq mm from SDPs to building</t>
  </si>
  <si>
    <t>o) (5x10)sq mm from SDPs to building</t>
  </si>
  <si>
    <t>q) (5x4)sq mm from SDPs to building</t>
  </si>
  <si>
    <t xml:space="preserve">s) (3x2.5)sq mm for street and compound lighting </t>
  </si>
  <si>
    <t>from fuse inside the pole connection window to</t>
  </si>
  <si>
    <t>the fitting</t>
  </si>
  <si>
    <t>ml</t>
  </si>
  <si>
    <t>UNDER GROUND DUCTS/PIPES</t>
  </si>
  <si>
    <t>a) pvc pipe of 110mm dia</t>
  </si>
  <si>
    <t>CABLE TRENCHES</t>
  </si>
  <si>
    <t>a) trench excavation</t>
  </si>
  <si>
    <t>WARNING TAPS</t>
  </si>
  <si>
    <t>UCBP/Dessie</t>
  </si>
  <si>
    <t xml:space="preserve">Item No: </t>
  </si>
  <si>
    <t>NO</t>
  </si>
  <si>
    <t>Ditto but  between 1.5m &amp; 3.0m</t>
  </si>
  <si>
    <t>var.</t>
  </si>
  <si>
    <t>Ditto,but under slab</t>
  </si>
  <si>
    <t>var</t>
  </si>
  <si>
    <t>Ditto,with selected material but under slab</t>
  </si>
  <si>
    <t>b) Roof slab</t>
  </si>
  <si>
    <t>c)To RC reservoir wall</t>
  </si>
  <si>
    <t>b)External RC surface of reservoir</t>
  </si>
  <si>
    <r>
      <t>M</t>
    </r>
    <r>
      <rPr>
        <vertAlign val="superscript"/>
        <sz val="12"/>
        <rFont val="Cambria"/>
        <family val="1"/>
      </rPr>
      <t>3</t>
    </r>
    <r>
      <rPr>
        <sz val="11"/>
        <color theme="1"/>
        <rFont val="Calibri"/>
        <family val="2"/>
        <scheme val="minor"/>
      </rPr>
      <t/>
    </r>
  </si>
  <si>
    <t>1.3.2.3.2</t>
  </si>
  <si>
    <t>50mm thick cement sand screed in 1:3 mortar</t>
  </si>
  <si>
    <t>a) To receive Xypex Water proofig</t>
  </si>
  <si>
    <t>1.3.2.3.4</t>
  </si>
  <si>
    <t xml:space="preserve">Apply  Xypex Water proofing material to internal </t>
  </si>
  <si>
    <t>wall and bottom slab</t>
  </si>
  <si>
    <t>SITE ELECTRICAL WORKS</t>
  </si>
  <si>
    <t>SN MAIN CAMPUS</t>
  </si>
  <si>
    <t xml:space="preserve">b)Top slab </t>
  </si>
  <si>
    <t>SITE SANITARY WORKS</t>
  </si>
  <si>
    <t>MAIN CAMPUS</t>
  </si>
  <si>
    <t>2.1.1</t>
  </si>
  <si>
    <t>2. BLOCK WORK</t>
  </si>
  <si>
    <t>200mm thick class C HCB wall</t>
  </si>
  <si>
    <t>3.ROOFING</t>
  </si>
  <si>
    <t>Galvanized EGA 400, 4mm thick roof cover</t>
  </si>
  <si>
    <t>6 STRUCTURAL STEEL WORK</t>
  </si>
  <si>
    <t>RHS lattice purlins</t>
  </si>
  <si>
    <t>a) 25x25x2.5mm</t>
  </si>
  <si>
    <t>7. FINISHING</t>
  </si>
  <si>
    <t>Applying three coats of plastering</t>
  </si>
  <si>
    <t>a)To internal wall surface</t>
  </si>
  <si>
    <t>Applying two coats of plastering and one coat of</t>
  </si>
  <si>
    <t>tyrolean rendering</t>
  </si>
  <si>
    <t>a)To external wall surface</t>
  </si>
  <si>
    <t>50mm thick cement screed floor finish</t>
  </si>
  <si>
    <t>1.3.4.3 finishing work</t>
  </si>
  <si>
    <t>1.3.4.3.1</t>
  </si>
  <si>
    <t>1/Excavation in black cotton soil</t>
  </si>
  <si>
    <t>1/Excavation in weathered rock</t>
  </si>
  <si>
    <t>under ground cable</t>
  </si>
  <si>
    <t>r) (5x6)sq mm from street and compound light</t>
  </si>
  <si>
    <t>100mm wide plastic tape</t>
  </si>
  <si>
    <t>EXTERNAL LIGHTING</t>
  </si>
  <si>
    <t xml:space="preserve">a) Street lighting pole of  8m height above </t>
  </si>
  <si>
    <t>ground level</t>
  </si>
  <si>
    <t>b)Galvanized street lighting pole of 3m high</t>
  </si>
  <si>
    <t>above ground level</t>
  </si>
  <si>
    <t>CMDB-2</t>
  </si>
  <si>
    <t>SDP-3/1</t>
  </si>
  <si>
    <t>SDP-3/4</t>
  </si>
  <si>
    <t>SDP-2/3</t>
  </si>
  <si>
    <t>SDP-2/4</t>
  </si>
  <si>
    <t>SDP-2/2</t>
  </si>
  <si>
    <t>SDP-4/3</t>
  </si>
  <si>
    <t>SDP-3/3</t>
  </si>
  <si>
    <t>SDP-2/1</t>
  </si>
  <si>
    <t>SDP-4/2</t>
  </si>
  <si>
    <t>Advance</t>
  </si>
  <si>
    <t>DESSIE</t>
  </si>
  <si>
    <t>Trust Construction</t>
  </si>
  <si>
    <t>GIZ-IS SM:</t>
  </si>
  <si>
    <t>CLIENT  : GIZ  IS</t>
  </si>
  <si>
    <t>Imhoff Tank</t>
  </si>
  <si>
    <t>6.1 EXCAVATION &amp; EARTH WORK</t>
  </si>
  <si>
    <t>6.2 CONCRETE WORK</t>
  </si>
  <si>
    <t>50 mm lean concrete quality C-5, with minimum cement content of 150 kg /m3, of concrete:</t>
  </si>
  <si>
    <t>a) In 500mm thick bottom slab</t>
  </si>
  <si>
    <t>Provide, cut and fix in position sawn structural wood or steel formwork which ever is appropriate.</t>
  </si>
  <si>
    <t>a) To 500mm thick bottom slab</t>
  </si>
  <si>
    <t>Dortmund Tank</t>
  </si>
  <si>
    <t>8.1 EXCAVATION &amp; EARTH WORK</t>
  </si>
  <si>
    <t>4.1 EXCAVATION &amp; EARTH WORK</t>
  </si>
  <si>
    <t>Sub-Total-3</t>
  </si>
  <si>
    <r>
      <t>9 SLUDGE DRYING BED -3</t>
    </r>
    <r>
      <rPr>
        <b/>
        <u/>
        <vertAlign val="superscript"/>
        <sz val="14"/>
        <rFont val="Cambria"/>
        <family val="1"/>
      </rPr>
      <t>rd</t>
    </r>
    <r>
      <rPr>
        <b/>
        <u/>
        <sz val="14"/>
        <rFont val="Cambria"/>
        <family val="1"/>
      </rPr>
      <t xml:space="preserve"> unit</t>
    </r>
  </si>
  <si>
    <t>Sub-Total-4</t>
  </si>
  <si>
    <r>
      <t>9 SLUDGE DRYING BED - 2</t>
    </r>
    <r>
      <rPr>
        <b/>
        <u/>
        <vertAlign val="superscript"/>
        <sz val="14"/>
        <rFont val="Cambria"/>
        <family val="1"/>
      </rPr>
      <t>nd</t>
    </r>
    <r>
      <rPr>
        <b/>
        <u/>
        <sz val="14"/>
        <rFont val="Cambria"/>
        <family val="1"/>
      </rPr>
      <t xml:space="preserve"> unit</t>
    </r>
  </si>
  <si>
    <r>
      <t>9. SLUDGE DRYING BED - 1</t>
    </r>
    <r>
      <rPr>
        <b/>
        <u/>
        <vertAlign val="superscript"/>
        <sz val="14"/>
        <rFont val="Cambria"/>
        <family val="1"/>
      </rPr>
      <t>st</t>
    </r>
    <r>
      <rPr>
        <b/>
        <u/>
        <sz val="14"/>
        <rFont val="Cambria"/>
        <family val="1"/>
      </rPr>
      <t xml:space="preserve"> UNIT</t>
    </r>
  </si>
  <si>
    <t>4. SAND TRAP</t>
  </si>
  <si>
    <t>4.1.1</t>
  </si>
  <si>
    <t>Trench excavation in ordinary soil for sandtrap to  1500 mm depth starting from reduced ground level.</t>
  </si>
  <si>
    <t>4.1.2</t>
  </si>
  <si>
    <t>Back fill around sandtrap with borrowed selected material  from quarry waste and well ram in layers not exceeding 200mm thickness.</t>
  </si>
  <si>
    <t>4.1.3</t>
  </si>
  <si>
    <t>Load and cart away surplus excavated material to an appropriate tip.</t>
  </si>
  <si>
    <t>4.2 CONCRETE WORK</t>
  </si>
  <si>
    <t>4.2.1</t>
  </si>
  <si>
    <t>a) Under sandtrap</t>
  </si>
  <si>
    <r>
      <t>M</t>
    </r>
    <r>
      <rPr>
        <vertAlign val="superscript"/>
        <sz val="12"/>
        <rFont val="Book Antiqua"/>
        <family val="1"/>
      </rPr>
      <t>2</t>
    </r>
  </si>
  <si>
    <t>4.2.2</t>
  </si>
  <si>
    <t>Water tight Reinforced concrete quality C-30,           400 kg of cement/m3 and Conplast WP-400 or equivalent water tight admixture 8Lit/m3 filled in to form work and vibrated around rod reinforcement (Formwork and reinforcement measured separately)</t>
  </si>
  <si>
    <t>a) In sandtrap</t>
  </si>
  <si>
    <t>4.2.3</t>
  </si>
  <si>
    <t>a) To sandtrap</t>
  </si>
  <si>
    <t>4.2.4</t>
  </si>
  <si>
    <t>Mild steel reinforcement according to structural drawings. Price includes cutting, bending, placing in position, tying wire and concrete spacers.</t>
  </si>
  <si>
    <t>a)  Dia. 10mm deformed bar</t>
  </si>
  <si>
    <t>Kg</t>
  </si>
  <si>
    <t>4.2.5</t>
  </si>
  <si>
    <t xml:space="preserve">Supply and install approved quality PVC water stopper at construction joints and as directed by the Engineer. </t>
  </si>
  <si>
    <t>Ml</t>
  </si>
  <si>
    <t>6. IMHOFF TANK (PRIMARY SEDIMENTATION TANK)</t>
  </si>
  <si>
    <t>6.1.1</t>
  </si>
  <si>
    <t>Pit excavation in ordinary soil for Imhoff  tank to a depth not exceeding 1500mm.</t>
  </si>
  <si>
    <r>
      <t>M</t>
    </r>
    <r>
      <rPr>
        <vertAlign val="superscript"/>
        <sz val="12"/>
        <rFont val="Book Antiqua"/>
        <family val="1"/>
      </rPr>
      <t>3</t>
    </r>
  </si>
  <si>
    <t>6.1.2</t>
  </si>
  <si>
    <t>Ditto but exceeding 1500mm but not exceeding 3000mm.</t>
  </si>
  <si>
    <t>6.1.3</t>
  </si>
  <si>
    <t>Ditto but exceeding 3000mm but not exceeding 4500mm.</t>
  </si>
  <si>
    <t>6.1.4</t>
  </si>
  <si>
    <t>Ditto but exceeding 4500mm but not exceeding 6000mm.</t>
  </si>
  <si>
    <t>6.1.5</t>
  </si>
  <si>
    <t>Ditto but exceeding 6000mm but not exceeding 7500mm.</t>
  </si>
  <si>
    <t>6.1.6</t>
  </si>
  <si>
    <t>Ditto but exceeding 7500mm but not exceeding 9000mm.</t>
  </si>
  <si>
    <t>6.1.7</t>
  </si>
  <si>
    <t xml:space="preserve">Fill around RC wall in non expansive excavated material from the site well rolled and compacted in layers not exceeding 200 mm thick. </t>
  </si>
  <si>
    <t>6.1.8</t>
  </si>
  <si>
    <t>6.2.1</t>
  </si>
  <si>
    <t>8.2.2</t>
  </si>
  <si>
    <t xml:space="preserve">Cyclopean concrete class C-15, packed with 40% stone boulders and 60% concrete with minimum cement content of 280kg/m3 cement  cast  into   form   work  and   vibrated.   </t>
  </si>
  <si>
    <t>6.2.3</t>
  </si>
  <si>
    <t>M3</t>
  </si>
  <si>
    <t>b) In 500mm thick RC wall</t>
  </si>
  <si>
    <t>c) In 250mm thick RC wall</t>
  </si>
  <si>
    <t>d) In 250mm thick suspended slab</t>
  </si>
  <si>
    <t>e) In 300mm thick suspended slab</t>
  </si>
  <si>
    <t>f) In 250mm thick incline slab</t>
  </si>
  <si>
    <t>6.2.4</t>
  </si>
  <si>
    <t>a) To 250mm thick bottom slab</t>
  </si>
  <si>
    <t>M2</t>
  </si>
  <si>
    <t>b) To  RC wall</t>
  </si>
  <si>
    <t>d) To  Suspended slab</t>
  </si>
  <si>
    <t>6.2.5</t>
  </si>
  <si>
    <t>Mild steel reinforcement according to structural drawings. Price includes cutting, bending, placing in position, tying  wire and concrete spacers.</t>
  </si>
  <si>
    <t>a) dia 10mm deformed bar</t>
  </si>
  <si>
    <t>b) dia 12mm deformed bar</t>
  </si>
  <si>
    <t>c) dia 16mm deformed bar</t>
  </si>
  <si>
    <t>d) dia 20mm deformed bar</t>
  </si>
  <si>
    <t>6.2.6</t>
  </si>
  <si>
    <t xml:space="preserve">Water tight Reinforced concrete quality C-30,      </t>
  </si>
  <si>
    <t>8.1.1</t>
  </si>
  <si>
    <t>Pit excavation in ordinary soil for retention tank to a depth not exceeding 1500mm.</t>
  </si>
  <si>
    <t>8.1.2</t>
  </si>
  <si>
    <t>Ditto as item 8.1.1 but to a depth exceeding 1500mm but not exceeding 3000mm.</t>
  </si>
  <si>
    <t>8.1.3</t>
  </si>
  <si>
    <t>Ditto as item 8.1.1 but to a depth exceeding 3000mm but not exceeding 4500mm.</t>
  </si>
  <si>
    <t>8.1.4</t>
  </si>
  <si>
    <t>Ditto as item 8.1.1 but to a depth exceeding 4500mm but not exceeding 6000mm.</t>
  </si>
  <si>
    <t>8.1.7</t>
  </si>
  <si>
    <t>8.1.8</t>
  </si>
  <si>
    <t>8.2 CONCRETE WORK</t>
  </si>
  <si>
    <t>8.2.1</t>
  </si>
  <si>
    <t>a) Under mat slab</t>
  </si>
  <si>
    <t>8.2.3</t>
  </si>
  <si>
    <t>Water tight Reinforced concrete quality C-30,           400 kg of cement/m3 and Conplast WP-400 or equivalent water tight admixture 8 .Lit/m3 filled in to form work and vibrated around rod reinforcement (Formwork and reinforcement measured separately)</t>
  </si>
  <si>
    <t>e) In 250mm thick inclined</t>
  </si>
  <si>
    <t>8.2.4</t>
  </si>
  <si>
    <t>b) To 500mm thick RC wall</t>
  </si>
  <si>
    <t>c) To 250mm thick RC wall</t>
  </si>
  <si>
    <t>d) To 250mm thick Suspended slab</t>
  </si>
  <si>
    <t>8.2.5</t>
  </si>
  <si>
    <t>c) dia 14mm deformed bar</t>
  </si>
  <si>
    <t>Ditto but  between 3m &amp; 4.5m</t>
  </si>
  <si>
    <t>Total carried to summary</t>
  </si>
  <si>
    <t>42.01(a) ii</t>
  </si>
  <si>
    <t>Borrow to fill ,compaction to 95 % AASHTO T-181</t>
  </si>
  <si>
    <t xml:space="preserve">Road way and Borrow Excavation </t>
  </si>
  <si>
    <t xml:space="preserve">Cut and Borrow to fill </t>
  </si>
  <si>
    <t>42.01(a)i</t>
  </si>
  <si>
    <t xml:space="preserve">Cut to fill/embankment ,compaction to 95 % AASHTO T-180 </t>
  </si>
  <si>
    <t>M³</t>
  </si>
  <si>
    <t>Cut to spoil obtained from</t>
  </si>
  <si>
    <t>42.03(a)</t>
  </si>
  <si>
    <t xml:space="preserve">common (normal) Excavation </t>
  </si>
  <si>
    <t>42.03(b)</t>
  </si>
  <si>
    <t xml:space="preserve">Hard Excavation </t>
  </si>
  <si>
    <t xml:space="preserve">45cm thick Selected material compaction to 95 % AASHTO T-180 </t>
  </si>
  <si>
    <t>CMDB-1</t>
  </si>
  <si>
    <t>SDP-5/1</t>
  </si>
  <si>
    <t>Exterior light Fitting</t>
  </si>
  <si>
    <t>a) PHILIPS CEM Ms 21150B0</t>
  </si>
  <si>
    <t>b) PHILIPS HPP090 HPL-N 80W</t>
  </si>
  <si>
    <t xml:space="preserve"> dia 14 mm deformed bar</t>
  </si>
  <si>
    <t>* Var</t>
  </si>
  <si>
    <r>
      <t>50m</t>
    </r>
    <r>
      <rPr>
        <vertAlign val="superscript"/>
        <sz val="12"/>
        <color indexed="8"/>
        <rFont val="Centaur"/>
        <family val="1"/>
      </rPr>
      <t>3</t>
    </r>
    <r>
      <rPr>
        <sz val="12"/>
        <color indexed="8"/>
        <rFont val="Centaur"/>
        <family val="1"/>
      </rPr>
      <t xml:space="preserve"> ELEVATED WATER RESERVOIR</t>
    </r>
  </si>
  <si>
    <r>
      <t>500m</t>
    </r>
    <r>
      <rPr>
        <vertAlign val="superscript"/>
        <sz val="12"/>
        <color indexed="8"/>
        <rFont val="Centaur"/>
        <family val="1"/>
      </rPr>
      <t xml:space="preserve">3 </t>
    </r>
    <r>
      <rPr>
        <sz val="12"/>
        <color indexed="8"/>
        <rFont val="Centaur"/>
        <family val="1"/>
      </rPr>
      <t>GROUND WATER RESERVOIR</t>
    </r>
  </si>
  <si>
    <t>i) Construct valve boxes in ordinary soil(black cotton) soil with double brick wall, R.C base slab &amp; R.C cover.Price shall include excavation of pit,cartawy &amp; backfilling.</t>
  </si>
  <si>
    <t>Size=1.5X1.0X1.0m</t>
  </si>
  <si>
    <t>ii)Construct valve boxes inweatherd rock  with double brick wall, R.C base slab &amp; R.C cover.Price shall include excavation of pit,cartawy &amp; backfilling.</t>
  </si>
  <si>
    <t>iii)Construct valve boxes in hard  rock  with double brick wall, R.C base slab &amp; R.C cover.Price shall include excavation of pit,cartawy &amp; backfilling.</t>
  </si>
  <si>
    <t>Valve box</t>
  </si>
  <si>
    <t>Pcs</t>
  </si>
  <si>
    <t>15.7 METAL WORK</t>
  </si>
  <si>
    <t xml:space="preserve"> Window</t>
  </si>
  <si>
    <t>a)  W1 size 1590x1990mm</t>
  </si>
  <si>
    <t>b)  W2 size 790x1990mm</t>
  </si>
  <si>
    <t>c)  W3 size 1190x2990mm</t>
  </si>
  <si>
    <t>d)  W4 size 790x1990mm</t>
  </si>
  <si>
    <t>e)  W5 size 3790x1990mm</t>
  </si>
  <si>
    <t xml:space="preserve">             Consultant_______________</t>
  </si>
  <si>
    <t xml:space="preserve">                                Client_________________</t>
  </si>
  <si>
    <t>8.2.6</t>
  </si>
  <si>
    <t xml:space="preserve">Supply &amp; Install approved quality PVC water stopper at construction joints </t>
  </si>
  <si>
    <t>1.1.5</t>
  </si>
  <si>
    <t>Back fil around retaining</t>
  </si>
  <si>
    <t>b) Dia 14mm</t>
  </si>
  <si>
    <r>
      <t>9. SLUDGE DRYING BED -4</t>
    </r>
    <r>
      <rPr>
        <b/>
        <u/>
        <vertAlign val="superscript"/>
        <sz val="14"/>
        <rFont val="Cambria"/>
        <family val="1"/>
      </rPr>
      <t>th</t>
    </r>
    <r>
      <rPr>
        <b/>
        <u/>
        <sz val="14"/>
        <rFont val="Cambria"/>
        <family val="1"/>
      </rPr>
      <t xml:space="preserve"> unit</t>
    </r>
  </si>
  <si>
    <t>Ditto but  between 3.0m &amp; 4.5m</t>
  </si>
  <si>
    <r>
      <t>50 M</t>
    </r>
    <r>
      <rPr>
        <b/>
        <u/>
        <vertAlign val="superscript"/>
        <sz val="14"/>
        <rFont val="Cambria"/>
        <family val="1"/>
      </rPr>
      <t>3</t>
    </r>
    <r>
      <rPr>
        <b/>
        <u/>
        <sz val="14"/>
        <rFont val="Cambria"/>
        <family val="1"/>
      </rPr>
      <t>capacity elevated water reservoir</t>
    </r>
  </si>
  <si>
    <t>CONSULTANT: MH ENGINEERING PLC</t>
  </si>
  <si>
    <r>
      <t>CONTRACTOR:</t>
    </r>
    <r>
      <rPr>
        <b/>
        <sz val="16"/>
        <color indexed="8"/>
        <rFont val="Cambria"/>
        <family val="1"/>
      </rPr>
      <t xml:space="preserve"> </t>
    </r>
    <r>
      <rPr>
        <b/>
        <sz val="16"/>
        <color indexed="8"/>
        <rFont val="Forte"/>
        <family val="4"/>
      </rPr>
      <t>TRUST CONSTRUCTION</t>
    </r>
  </si>
  <si>
    <t>SUPPLEMENTARY WORKS</t>
  </si>
  <si>
    <r>
      <t>1</t>
    </r>
    <r>
      <rPr>
        <b/>
        <vertAlign val="superscript"/>
        <sz val="12"/>
        <color indexed="8"/>
        <rFont val="Centaur"/>
        <family val="1"/>
      </rPr>
      <t>ST</t>
    </r>
    <r>
      <rPr>
        <b/>
        <sz val="12"/>
        <color indexed="8"/>
        <rFont val="Centaur"/>
        <family val="1"/>
      </rPr>
      <t xml:space="preserve"> SUPPLEMNTARY </t>
    </r>
  </si>
  <si>
    <r>
      <t>2</t>
    </r>
    <r>
      <rPr>
        <b/>
        <vertAlign val="superscript"/>
        <sz val="12"/>
        <color indexed="8"/>
        <rFont val="Centaur"/>
        <family val="1"/>
      </rPr>
      <t>ND</t>
    </r>
    <r>
      <rPr>
        <b/>
        <sz val="12"/>
        <color indexed="8"/>
        <rFont val="Centaur"/>
        <family val="1"/>
      </rPr>
      <t xml:space="preserve">  SUPPLEMNTARY </t>
    </r>
  </si>
  <si>
    <t>CONSULTANT:     MH ENGINEERING PLC</t>
  </si>
  <si>
    <t>CLIENT  :      GIZ IS</t>
  </si>
  <si>
    <r>
      <t xml:space="preserve">CONTRACTOR:   </t>
    </r>
    <r>
      <rPr>
        <b/>
        <i/>
        <sz val="16"/>
        <color indexed="8"/>
        <rFont val="Forte"/>
        <family val="4"/>
      </rPr>
      <t>TRUST CONSTRUCTION</t>
    </r>
  </si>
  <si>
    <t>8. DORTMUND TANK (FINAL SEDIMENTATION TANK)</t>
  </si>
  <si>
    <t>Supply, Install, test and commision UV(Ultra Violet) disinfection unit complete with electrical control works associated with electrical control works associated with the installation all in accordance with the manufacturer`s instruction.</t>
  </si>
  <si>
    <t>Input power  =3KW</t>
  </si>
  <si>
    <t xml:space="preserve">  Total carried to summary</t>
  </si>
  <si>
    <t>A.SUB STRUCTURE</t>
  </si>
  <si>
    <t>a)  Dia. 12mm deformed bar</t>
  </si>
  <si>
    <t>7. AERATION TANK</t>
  </si>
  <si>
    <t>7.1 EXCAVATION &amp; EARTH WORK</t>
  </si>
  <si>
    <t>7.1.2</t>
  </si>
  <si>
    <t>7.1.3</t>
  </si>
  <si>
    <t>7.2 CONCRETE WORK</t>
  </si>
  <si>
    <t>7.2.1</t>
  </si>
  <si>
    <t>7.2.2</t>
  </si>
  <si>
    <t>a) In 250mm thick bottom slab</t>
  </si>
  <si>
    <t>b) In Beam</t>
  </si>
  <si>
    <t>c) In 400mm thick RC wall</t>
  </si>
  <si>
    <t>d) In 300mm thick RC wall</t>
  </si>
  <si>
    <t>e) In 250mm thick RC wall</t>
  </si>
  <si>
    <t>f) In 250mm thick suspended slab</t>
  </si>
  <si>
    <t>7.2.3</t>
  </si>
  <si>
    <t>b) To Beam</t>
  </si>
  <si>
    <t>c) To  RC wall</t>
  </si>
  <si>
    <t>f) To 250mm thick Suspended salb</t>
  </si>
  <si>
    <t>7.2.4</t>
  </si>
  <si>
    <t>a) Dia 10 mm deformed bar</t>
  </si>
  <si>
    <t>b) Dia 12 mm deformed bar</t>
  </si>
  <si>
    <t>c) Dia 16 mm deformed bar</t>
  </si>
  <si>
    <t>d) Dia 20 mm deformed bar</t>
  </si>
  <si>
    <t>7.2.6</t>
  </si>
  <si>
    <t>7.1.1</t>
  </si>
  <si>
    <t>Pit excavation in ordinary soil for aeration tank to a depth not exceeding 1500mm.</t>
  </si>
  <si>
    <t>7.2.3 Provide, cut &amp; fix in position sawn structural wood formwork</t>
  </si>
  <si>
    <t>WHEN  YOU INSERT THE QUANTITY PLEASE CHECK THE UNIT RATE SINCE SOME ITEMS RATE HAVE  BEEN REVISED I`LL SEND U ANY REVISED RATE  THEN U`LL CHOOSE THE ONE U WANT FOR THIS PAYMENT</t>
  </si>
  <si>
    <t xml:space="preserve">             </t>
  </si>
  <si>
    <t xml:space="preserve"> Executed</t>
  </si>
  <si>
    <t>PRICE ADJUSTMENT</t>
  </si>
  <si>
    <t>15.8)Finishing Work</t>
  </si>
  <si>
    <t>(1:3).Price shall include exposed surface of beams &amp;</t>
  </si>
  <si>
    <t>Column ,pre-cleaning &amp;preparation of  the surface</t>
  </si>
  <si>
    <r>
      <t>m</t>
    </r>
    <r>
      <rPr>
        <vertAlign val="superscript"/>
        <sz val="12"/>
        <rFont val="Cambria"/>
        <family val="1"/>
      </rPr>
      <t>2</t>
    </r>
  </si>
  <si>
    <t>1000mm w ide and 80mm thick C-20 pre-cast concrete pavement</t>
  </si>
  <si>
    <t>ement around the building bedded  on100mm thick sand/</t>
  </si>
  <si>
    <t>red ash base and joint  pointed inn cement  &amp; sand mortar</t>
  </si>
  <si>
    <t>50cm thick cement sand screed smoothly finished flooring in mortar mix (1:3)</t>
  </si>
  <si>
    <t>a)To receive Xypex Water  Proofing</t>
  </si>
  <si>
    <t>1.3.2.3.3</t>
  </si>
  <si>
    <t>Supply and lay 4mm thick approved quality membrane type water proofing material to roof slab according to manufactureres instructions and Engineers approval</t>
  </si>
  <si>
    <t>wall and bottom slab in accordance with the manufacturer</t>
  </si>
  <si>
    <t>instruction and Engineers approval</t>
  </si>
  <si>
    <t>15.8.2</t>
  </si>
  <si>
    <t>Apply Three Coats of Plastering In Cement Mortar</t>
  </si>
  <si>
    <t>Domestic Water Supply System</t>
  </si>
  <si>
    <t>Pump House</t>
  </si>
  <si>
    <t>Survice Building</t>
  </si>
  <si>
    <t>ddt D-01</t>
  </si>
  <si>
    <t>P.Advance Repayment20%</t>
  </si>
  <si>
    <t>1 of 2</t>
  </si>
  <si>
    <t>1 of 1</t>
  </si>
  <si>
    <t xml:space="preserve">Fill in side sludge RC wall in non expansive excavated </t>
  </si>
  <si>
    <t xml:space="preserve">material from out site </t>
  </si>
  <si>
    <t>Bottom Slab</t>
  </si>
  <si>
    <t>VO-4 Rock Excavation</t>
  </si>
  <si>
    <t>Sludge Draying Bed 3</t>
  </si>
  <si>
    <t>1.01)</t>
  </si>
  <si>
    <t>Ditto but exceeding 1500mm but not exceeding 3000mmdepth</t>
  </si>
  <si>
    <t>1.02)</t>
  </si>
  <si>
    <t>1.03)</t>
  </si>
  <si>
    <t>1.04)</t>
  </si>
  <si>
    <t>Sludge Draying Bed 4</t>
  </si>
  <si>
    <t xml:space="preserve">VO-5 Reinstalltion of Electrical Cables and Water Supply </t>
  </si>
  <si>
    <t>Water Supply Work</t>
  </si>
  <si>
    <t>Dismantel and remove HDPE Pipes and accessories</t>
  </si>
  <si>
    <t>Diam 90mm</t>
  </si>
  <si>
    <t>Reinstall, test disinfect and commission the disma</t>
  </si>
  <si>
    <t>Electric Work</t>
  </si>
  <si>
    <t>Dismantel and remove PVC instlated under ground cable</t>
  </si>
  <si>
    <t>3x50/25 +1x25</t>
  </si>
  <si>
    <t>Ditto but 3x35/16 +1x16</t>
  </si>
  <si>
    <t>Ditto but 3x120/70 +1x70</t>
  </si>
  <si>
    <t>1.05)</t>
  </si>
  <si>
    <t>Ditto but 5x16</t>
  </si>
  <si>
    <t>Ditto but 5x6</t>
  </si>
  <si>
    <t>Dismantel and remove Sub distribution pilar</t>
  </si>
  <si>
    <t>1.06)</t>
  </si>
  <si>
    <t>Reinstall PVC instlated under ground cable</t>
  </si>
  <si>
    <t>Reinstall Sub distribution pilar</t>
  </si>
  <si>
    <t>Retaining Wall</t>
  </si>
  <si>
    <t>Trench excavaion in soft rock not exceeding 1500mm depth</t>
  </si>
  <si>
    <t>Ditto but exceeding 3000mm but not exceeding 4500mmdepth</t>
  </si>
  <si>
    <t>Supplementary Agreement</t>
  </si>
  <si>
    <t>Carriage Way</t>
  </si>
  <si>
    <t xml:space="preserve">Excavaion in soft rock </t>
  </si>
  <si>
    <t>Remaining Road Work (SA 4)</t>
  </si>
  <si>
    <t>32.01)</t>
  </si>
  <si>
    <t>Back filling using imported material</t>
  </si>
  <si>
    <t>32.02)</t>
  </si>
  <si>
    <t>Reinforced drain cover 1.6x0.3x0.2m</t>
  </si>
  <si>
    <t>33.16)</t>
  </si>
  <si>
    <t>34.01)</t>
  </si>
  <si>
    <t xml:space="preserve">Stone Pitcing </t>
  </si>
  <si>
    <t>Cement mortared Stone Wall</t>
  </si>
  <si>
    <t>Concrete Curbing class A</t>
  </si>
  <si>
    <t>34.03 b)</t>
  </si>
  <si>
    <t>33.01)</t>
  </si>
  <si>
    <t>32.07)</t>
  </si>
  <si>
    <t>Concrete below head wall</t>
  </si>
  <si>
    <t>Walk Way</t>
  </si>
  <si>
    <t>21.00)</t>
  </si>
  <si>
    <t>Clearing and grubbing (hactar)</t>
  </si>
  <si>
    <t>32.01c)</t>
  </si>
  <si>
    <t>Trapizoidal Open Ditch</t>
  </si>
  <si>
    <t>Reinforced drain cover 1.5x0.3x0.1m</t>
  </si>
  <si>
    <t>42.03 )</t>
  </si>
  <si>
    <t>Road way and borrow excavation</t>
  </si>
  <si>
    <t>Commen (Normal) Excavation</t>
  </si>
  <si>
    <t>Sub base layer</t>
  </si>
  <si>
    <t>51.01 )</t>
  </si>
  <si>
    <t>33.16a)</t>
  </si>
  <si>
    <t>33.16b)</t>
  </si>
  <si>
    <t>11.1  Inlet water pumping station</t>
  </si>
  <si>
    <t>11.1.1 Excavation and earth work</t>
  </si>
  <si>
    <t>Fill under Aeration Tank (VO-3)</t>
  </si>
  <si>
    <r>
      <t>M</t>
    </r>
    <r>
      <rPr>
        <vertAlign val="superscript"/>
        <sz val="12"/>
        <rFont val="Book Antiqua"/>
        <family val="1"/>
      </rPr>
      <t>4</t>
    </r>
    <r>
      <rPr>
        <sz val="11"/>
        <color indexed="8"/>
        <rFont val="Calibri"/>
        <family val="2"/>
      </rPr>
      <t/>
    </r>
  </si>
  <si>
    <t>Var-4</t>
  </si>
  <si>
    <t>Ditto but exceeding 1500mm but not exceeding 3000</t>
  </si>
  <si>
    <t xml:space="preserve">Rock Excavation </t>
  </si>
  <si>
    <t>Bulk excavation in soft rock depth not exceeding  1500</t>
  </si>
  <si>
    <t>Bulk excavation in hard  rock depth not exceeding  1500</t>
  </si>
  <si>
    <t>Ditto but exceeding 3000mm but not exceeding 4500</t>
  </si>
  <si>
    <t>VO-5</t>
  </si>
  <si>
    <t>SA 4</t>
  </si>
  <si>
    <t>pcs</t>
  </si>
  <si>
    <t>m2</t>
  </si>
  <si>
    <t>for two and three meter walk wat</t>
  </si>
  <si>
    <t>for two and three meter walk way</t>
  </si>
  <si>
    <t>Total Carried</t>
  </si>
  <si>
    <t>VO 5</t>
  </si>
  <si>
    <t>Reinstallation of Electric Cables and HDPE pipes</t>
  </si>
  <si>
    <t>Remaining Road Work</t>
  </si>
  <si>
    <t>RETENSION BASIN    /over flow/</t>
  </si>
  <si>
    <t xml:space="preserve">                                           Supplementary contract</t>
  </si>
  <si>
    <t>price adjustment</t>
  </si>
  <si>
    <t>vat 15%</t>
  </si>
  <si>
    <t xml:space="preserve">vat </t>
  </si>
  <si>
    <t>11.1.2 CONCRETE WORK</t>
  </si>
  <si>
    <t>11.1.2.1</t>
  </si>
  <si>
    <t>11.1.2.2</t>
  </si>
  <si>
    <t>11.1.2.3</t>
  </si>
  <si>
    <t>11.1.2.4</t>
  </si>
  <si>
    <t>11.1.2.5</t>
  </si>
  <si>
    <r>
      <t xml:space="preserve">We certify that the contractor is now entitled to the sum of </t>
    </r>
    <r>
      <rPr>
        <b/>
        <sz val="12"/>
        <rFont val="Times New Roman"/>
        <family val="1"/>
      </rPr>
      <t>Three Million Eighty Five Thousand Sixty Two</t>
    </r>
    <r>
      <rPr>
        <b/>
        <sz val="11"/>
        <rFont val="Times New Roman"/>
        <family val="1"/>
      </rPr>
      <t xml:space="preserve"> &amp; 59/100 Birr Only</t>
    </r>
  </si>
  <si>
    <t>Total</t>
  </si>
  <si>
    <t>DESSIE  UCBP WWTP LOT 1 &amp;2 NETWORK</t>
  </si>
  <si>
    <t>CERTIFICATE OF PAYMENT No 15</t>
  </si>
  <si>
    <t>Backfill around Retaining Wall</t>
  </si>
  <si>
    <t>m4</t>
  </si>
  <si>
    <t>Ditto but  between 3.0m &amp; 4.0m</t>
  </si>
  <si>
    <t>5B</t>
  </si>
  <si>
    <t>10.2 CONCRETE WORK</t>
  </si>
  <si>
    <t>Sludge Drying Bed 1 2 3 &amp; 4 Gates</t>
  </si>
  <si>
    <t>3.6*2=7.2</t>
  </si>
  <si>
    <t>2.6*2 = 5.2</t>
  </si>
  <si>
    <t>VO-</t>
  </si>
  <si>
    <t>Sludge Draying Bed 1</t>
  </si>
  <si>
    <t>Sludge Draying Bed 2</t>
  </si>
  <si>
    <t>Bulk Excavaion in ordinary soil to 1500mm depth</t>
  </si>
  <si>
    <t>Load and Car away excavated material</t>
  </si>
  <si>
    <t>Concrete Work</t>
  </si>
  <si>
    <t>Lean Concrete</t>
  </si>
  <si>
    <t>Water Tight C-30 Concrete Bottom Slab</t>
  </si>
  <si>
    <t>Water Tight C-30 Concrete Wall</t>
  </si>
  <si>
    <t>Middle of the Gate Wall</t>
  </si>
  <si>
    <t>Water Stopper</t>
  </si>
  <si>
    <t>Retaining Wall Construction</t>
  </si>
  <si>
    <t>Masonary Work</t>
  </si>
  <si>
    <t>1.4.3</t>
  </si>
  <si>
    <t>Roughly dressed Retaining wall</t>
  </si>
  <si>
    <t>Storm Water Drainage</t>
  </si>
  <si>
    <t xml:space="preserve">    14.10) Construct Storm Water Drainage channel Average Depth of channel 400mm</t>
  </si>
  <si>
    <t>ddt W-01</t>
  </si>
  <si>
    <t>13.6) Carpentry and Joinery</t>
  </si>
  <si>
    <t xml:space="preserve">Chipwood Ceiling </t>
  </si>
  <si>
    <t>Super Structure</t>
  </si>
  <si>
    <t>7) Finishing Work</t>
  </si>
  <si>
    <t>Internal Three Coats of Plastering</t>
  </si>
  <si>
    <t>External Two Coats of Plastering</t>
  </si>
  <si>
    <t>and one coats of Rendering</t>
  </si>
  <si>
    <t>Avg depth = 2.87</t>
  </si>
  <si>
    <t>Avg depth = 2.9</t>
  </si>
  <si>
    <t>Cement Screed 50mm thick</t>
  </si>
  <si>
    <t>50m3 Capacity RC Water Reservior</t>
  </si>
  <si>
    <t>1.3.1</t>
  </si>
  <si>
    <t>50m3 Capacity RC Water Res</t>
  </si>
  <si>
    <t>dia 150mm GSP Inlet pipe from Pump House</t>
  </si>
  <si>
    <t>dia 250mm GSP Outlet pipe from the Tank</t>
  </si>
  <si>
    <t>dia 200mm GSP Drain Pipe</t>
  </si>
  <si>
    <t>Brass Gate Valve</t>
  </si>
  <si>
    <t>a) On Pipe Inlet point from tank dia. 150mm</t>
  </si>
  <si>
    <t>a) On Water Tank Drain Pipe dia. 100mm</t>
  </si>
  <si>
    <t xml:space="preserve">a) On Water distribution pipe after </t>
  </si>
  <si>
    <t>tank dia. 250mm</t>
  </si>
  <si>
    <t>500m3 Capacity RC Ground Water Reservior</t>
  </si>
  <si>
    <t>500m3 Ground Reservior</t>
  </si>
  <si>
    <t>1.3.3</t>
  </si>
  <si>
    <t>a) On Pipe Inlet point from tank dia. 4''</t>
  </si>
  <si>
    <t>a) On Water Tank Drain Pipe dia. 6''</t>
  </si>
  <si>
    <t>tank dia.6''</t>
  </si>
  <si>
    <t xml:space="preserve">Brick Valve Box </t>
  </si>
  <si>
    <t>VO-4 Pump House Electrical Connection</t>
  </si>
  <si>
    <t>1.1) Under Ground Cable 3x150/70+1x70 sqmm</t>
  </si>
  <si>
    <t xml:space="preserve"> from SDB 5/5 to Pump Station SDB-p</t>
  </si>
  <si>
    <t>1.2) Cable Trench</t>
  </si>
  <si>
    <t>1.2) Warning Tape 100mm wide</t>
  </si>
  <si>
    <t>Waste Water Drainage Pipe</t>
  </si>
  <si>
    <t>a) Dia 160</t>
  </si>
  <si>
    <t>a) Dia.1000mm up to 2-3m depth</t>
  </si>
  <si>
    <t>VO-3</t>
  </si>
  <si>
    <t>Waste Water Drainage Pipe at Culvert (VO-3)</t>
  </si>
  <si>
    <t xml:space="preserve">1.1.2) Lay test commission uPVC pipe </t>
  </si>
  <si>
    <t xml:space="preserve">2) Reinforced Concrete Manhole </t>
  </si>
  <si>
    <t xml:space="preserve">depth GREATER than 1500mm </t>
  </si>
  <si>
    <t>Supple Aggr</t>
  </si>
  <si>
    <t>Domestic Water Sup System</t>
  </si>
  <si>
    <t>SA) 1.1)</t>
  </si>
  <si>
    <t>1.1.1) HDPE PN 16 depth 800/width600mm</t>
  </si>
  <si>
    <t>excavation in ordinary soil</t>
  </si>
  <si>
    <t>SA-5 Additional Sanitary Works</t>
  </si>
  <si>
    <t>SA-5</t>
  </si>
  <si>
    <t>1.1) Pipe Works</t>
  </si>
  <si>
    <t>a) Dia. 90mm (Outside Diameter)</t>
  </si>
  <si>
    <t>1.1.1) uPVC (PN6) gravity pipe work below ground installation complet with fittings, adaptors, sealants and all necessay accessories</t>
  </si>
  <si>
    <t>b) Dia. 110mm (Outside Diameter)</t>
  </si>
  <si>
    <t>c) Dia. 160mm (Outside Diameter)</t>
  </si>
  <si>
    <t>d) Dia. 225mm (Outside Diameter)</t>
  </si>
  <si>
    <t>e) Dia. 315mm (Outside Diameter)</t>
  </si>
  <si>
    <t>1.1.2) Ditto as above but uPVC (PN10) Pressure Pipes with fittings</t>
  </si>
  <si>
    <t>TRUST CONSTRUCTION DESSIE PROJECT</t>
  </si>
  <si>
    <t xml:space="preserve">Project:-Water treatment plant construction                                                                                                                            </t>
  </si>
  <si>
    <t xml:space="preserve">Location:- Dessie wollo university                                                                                                                                                                </t>
  </si>
  <si>
    <t xml:space="preserve">Contractor:- Trust con.                                                                                                                              </t>
  </si>
  <si>
    <t>RETENTION BASIN BAR SCHEDULE</t>
  </si>
  <si>
    <t>s/n</t>
  </si>
  <si>
    <t>Bar</t>
  </si>
  <si>
    <t>Dia.</t>
  </si>
  <si>
    <t>Length</t>
  </si>
  <si>
    <t>ᴓ 6</t>
  </si>
  <si>
    <t>ᴓ 8</t>
  </si>
  <si>
    <t>ᴓ 10</t>
  </si>
  <si>
    <t>ᴓ 12</t>
  </si>
  <si>
    <t>ᴓ 14</t>
  </si>
  <si>
    <t>ᴓ 16</t>
  </si>
  <si>
    <t>ᴓ 20</t>
  </si>
  <si>
    <t>(mm)</t>
  </si>
  <si>
    <t>Bars</t>
  </si>
  <si>
    <t>Mem.</t>
  </si>
  <si>
    <t>of</t>
  </si>
  <si>
    <t>RETENTION</t>
  </si>
  <si>
    <t>BASIN</t>
  </si>
  <si>
    <t>Bottom</t>
  </si>
  <si>
    <t>slab</t>
  </si>
  <si>
    <t>vertical</t>
  </si>
  <si>
    <t>wall</t>
  </si>
  <si>
    <t>length(m)</t>
  </si>
  <si>
    <t>Weigth(kg/m)</t>
  </si>
  <si>
    <t>Total weigth(kg)</t>
  </si>
  <si>
    <t>Bar Schedule</t>
  </si>
  <si>
    <t>SLUDGE DRYING BED GATE BAR SCHEDULE</t>
  </si>
  <si>
    <t>Bar SHAPE</t>
  </si>
  <si>
    <t>Dia.(MM)</t>
  </si>
  <si>
    <t xml:space="preserve">No of BAR </t>
  </si>
  <si>
    <t xml:space="preserve">No of MEMBERS </t>
  </si>
  <si>
    <t>Total NO. OF BAR</t>
  </si>
  <si>
    <t>LENGTH OF BAR</t>
  </si>
  <si>
    <t>Total LENGTH</t>
  </si>
  <si>
    <t>EXCESS AND RETURN PUMPING STATION</t>
  </si>
  <si>
    <t>BOTTOM</t>
  </si>
  <si>
    <t>VERTICAL BAR</t>
  </si>
  <si>
    <t>HOR.BAR</t>
  </si>
  <si>
    <t>Diagonal bar</t>
  </si>
  <si>
    <t xml:space="preserve">Project:-Waste Water treatment plant construction                                                                                                                            </t>
  </si>
  <si>
    <t>Average 750mm thick hard trachytic roughly dressed stone</t>
  </si>
  <si>
    <t>masonary retaining wall below beded in cement mortar (1:3)</t>
  </si>
  <si>
    <t>1.3 MASONRY WORK</t>
  </si>
  <si>
    <t>1.  Excavation and Earth Work</t>
  </si>
  <si>
    <t>b) In 250mm thick RC wall</t>
  </si>
  <si>
    <t>b) To  250mm RC wall</t>
  </si>
  <si>
    <t>Fill UNDER  RC Bottom Slab in non expansive excavated</t>
  </si>
  <si>
    <t>1.07)</t>
  </si>
  <si>
    <t xml:space="preserve"> Provide,cut and fix in position of form work</t>
  </si>
  <si>
    <t xml:space="preserve"> Bottom Slab</t>
  </si>
  <si>
    <t>(2*2=4) +</t>
  </si>
  <si>
    <t>(2*4.1)=16.2</t>
  </si>
  <si>
    <t xml:space="preserve">RC Wall </t>
  </si>
  <si>
    <t>RETEINTION BASIN</t>
  </si>
  <si>
    <t>c) In 200mm thick RC wall</t>
  </si>
  <si>
    <t>a) In 400mm thick bottom slab</t>
  </si>
  <si>
    <t>d) In 400mm thick RC wall</t>
  </si>
  <si>
    <t>a) To RC bottom slab</t>
  </si>
  <si>
    <t>b) To  RC 400mm wall</t>
  </si>
  <si>
    <t>10.1.1</t>
  </si>
  <si>
    <t>10.1.2</t>
  </si>
  <si>
    <t>10.1.3</t>
  </si>
  <si>
    <t>10.1.4</t>
  </si>
  <si>
    <t>10.1.5</t>
  </si>
  <si>
    <t>10.2.1</t>
  </si>
  <si>
    <t>10.2.2</t>
  </si>
  <si>
    <t>10.2.3</t>
  </si>
  <si>
    <t>10.2.4</t>
  </si>
  <si>
    <t>10.2.5</t>
  </si>
  <si>
    <t xml:space="preserve">Construct Storm Water drainage cahnnel out of 400mm thick </t>
  </si>
  <si>
    <t>internally plastered stone masonaryas showen in the detail</t>
  </si>
  <si>
    <t>drawing</t>
  </si>
  <si>
    <t>Average depth of channel 400mm</t>
  </si>
  <si>
    <t xml:space="preserve">Ditto but covered with removable RC Cover according to </t>
  </si>
  <si>
    <t>where showen in the drawing</t>
  </si>
  <si>
    <t>16.6 CARPENTARY AND JOINERY</t>
  </si>
  <si>
    <t>16.6.4</t>
  </si>
  <si>
    <t>Supply and Fix 8mm thick chipwood ceiling. Price include</t>
  </si>
  <si>
    <t>40mmx50mm zigba wooden battens with c/c 600..</t>
  </si>
  <si>
    <t>Doors</t>
  </si>
  <si>
    <t>a)  D1 size 700x2040mm covered with 1mm ribed sheeet</t>
  </si>
  <si>
    <t>b)  D2 size 1590x2990mm covered with 1mm ribed sheeet</t>
  </si>
  <si>
    <t>c)  D5 size 700x2040mm covered with 1mm ribed sheeet</t>
  </si>
  <si>
    <t>d)  D6 size 1590x2990mm covered with 1mm ribed sheeet</t>
  </si>
  <si>
    <t>e)  D7 size 5590x4390mm covered with 1mm ribed sheeet</t>
  </si>
  <si>
    <t>15.7.1</t>
  </si>
  <si>
    <t>15.7.2</t>
  </si>
  <si>
    <t>15.8.6</t>
  </si>
  <si>
    <t>50mm thick smooth finished cement screed (1:3) floor finish</t>
  </si>
  <si>
    <t>with glass crack protection. Price include all accessories</t>
  </si>
  <si>
    <t>SANITORY WORK</t>
  </si>
  <si>
    <t>1. ADDITONAL SANITARY WORKS</t>
  </si>
  <si>
    <t>Piping Work</t>
  </si>
  <si>
    <t>SA5</t>
  </si>
  <si>
    <t>UPVC (PN6) gravity pipe work below ground inatallation</t>
  </si>
  <si>
    <t>complet with fittings, adaptors, sealants all the necessay accories</t>
  </si>
  <si>
    <t>Dia. 90mm (outside diameter)</t>
  </si>
  <si>
    <t>Dia. 110mm (outside diameter)</t>
  </si>
  <si>
    <t>Dia. 160mm (outside diameter)</t>
  </si>
  <si>
    <t>Dia. 225mm (outside diameter)</t>
  </si>
  <si>
    <t>Dia. 315mm (outside diameter)</t>
  </si>
  <si>
    <t>Ditto as above but UPVC (PN10) pressur pipe with fittings</t>
  </si>
  <si>
    <t xml:space="preserve">Polyethylene (PN10) pipe work above and below ground </t>
  </si>
  <si>
    <t>installation for flushing complete with fittings, adaptor, pipe</t>
  </si>
  <si>
    <t>brackets all required accessoires</t>
  </si>
  <si>
    <t>Dia. 50mm (outside diameter)</t>
  </si>
  <si>
    <t>Slotted UPVC Pipes</t>
  </si>
  <si>
    <t>PN-6 purpose made soltted UPVC pipes for the drainage of</t>
  </si>
  <si>
    <t>seepage water from sludge drying bed complet with all the</t>
  </si>
  <si>
    <t>necessary connection fittings</t>
  </si>
  <si>
    <t>1.3.1.1</t>
  </si>
  <si>
    <t>Provide dia. 150mm GSP inlet pipe from pump house</t>
  </si>
  <si>
    <t>1.3.1.2</t>
  </si>
  <si>
    <t>1.3.1.3</t>
  </si>
  <si>
    <t>Provide 8"(200mm) GSP over flow and drain pipe</t>
  </si>
  <si>
    <t>Provide dia. 250mm GSP outlet pipe from water tank</t>
  </si>
  <si>
    <t>1.3.1.7</t>
  </si>
  <si>
    <t>Supply and Fix Brass Gate valves of approved quality</t>
  </si>
  <si>
    <t>a) On pipe inlet point to tank dia. 150mm</t>
  </si>
  <si>
    <t>b) On water tank drain pipe, dia. 100mm</t>
  </si>
  <si>
    <t>c) On water distribution pipe after tank dia. 250mm</t>
  </si>
  <si>
    <t>no</t>
  </si>
  <si>
    <t>1.3.3.12</t>
  </si>
  <si>
    <t>Fix brass gate valve of approved quality including adaptors to</t>
  </si>
  <si>
    <t>HDPE pipes</t>
  </si>
  <si>
    <t>a) On pipe inlet point to tank dia. 4"</t>
  </si>
  <si>
    <t>b) On water tank drain pipe, dia. 6"</t>
  </si>
  <si>
    <t>c) On water distribution pipe after tank dia. 6"</t>
  </si>
  <si>
    <t>1.3.3.14</t>
  </si>
  <si>
    <t>Construct valve boxes in ordinary soil with double brick wall</t>
  </si>
  <si>
    <t>RC base slab size = 1.5 x 1.0 x 1.0</t>
  </si>
  <si>
    <t>VO-4</t>
  </si>
  <si>
    <t>PUMP HOUSE ELECTRICAL CONNECTION</t>
  </si>
  <si>
    <t>Under ground cable 3x150/70+1x70 sqmm from SDB 5/5 to</t>
  </si>
  <si>
    <t>Pump Station SDB-p</t>
  </si>
  <si>
    <t>Cable Trench</t>
  </si>
  <si>
    <t>Warnining Tapes 100mm wide plastic tape colourd yellow</t>
  </si>
  <si>
    <t>Dia 90mm (OD 110mm)</t>
  </si>
  <si>
    <t>Dia 200mm (OD 250mm)</t>
  </si>
  <si>
    <t>Valve</t>
  </si>
  <si>
    <t>Bronz gate Valves 20mm</t>
  </si>
  <si>
    <t>Bronz gate Valves 32mm</t>
  </si>
  <si>
    <t>Bronz gate Valves 50mm</t>
  </si>
  <si>
    <t>Bronz gate Valves 75mm</t>
  </si>
  <si>
    <t>Bronz gate Valves 90mm</t>
  </si>
  <si>
    <t>Bronz gate Valves 100mm</t>
  </si>
  <si>
    <t>Bronz gate Valves 125mm</t>
  </si>
  <si>
    <t>Bronz gate Valves 150mm</t>
  </si>
  <si>
    <t>Bronz gate Valves 200mm</t>
  </si>
  <si>
    <t>Bronz gate Valves 250mm</t>
  </si>
  <si>
    <t>Air releas valves 50mm</t>
  </si>
  <si>
    <t>Water Pumps, Accessories</t>
  </si>
  <si>
    <t>Centrifugal Water pumps</t>
  </si>
  <si>
    <t>Brass  gate valve 150mm (6")</t>
  </si>
  <si>
    <t>Brass  gate valve 200mm (8")</t>
  </si>
  <si>
    <t>Brass one way adaptor</t>
  </si>
  <si>
    <t xml:space="preserve">Wash out valves at end </t>
  </si>
  <si>
    <t>Waste Water Drainage Pipes at Culvert</t>
  </si>
  <si>
    <t>Lay test and commission PN6 uPVC wast water drain pipe</t>
  </si>
  <si>
    <t>including  excavation of the trench to a width of 70mm and</t>
  </si>
  <si>
    <t>depth upto 3000mm. Price shall include spread of  100mm</t>
  </si>
  <si>
    <t>thick sand bedding around the pipe and backfill</t>
  </si>
  <si>
    <t>Excavation in odrinary soil</t>
  </si>
  <si>
    <t>Dia. 160</t>
  </si>
  <si>
    <t>Dia.200</t>
  </si>
  <si>
    <t>Construct reinforced concrete manhole including RC Bast</t>
  </si>
  <si>
    <t xml:space="preserve">slab and  RC cover as per the detail drawing. Price include </t>
  </si>
  <si>
    <t>excavation of pit , cart away and backfilling</t>
  </si>
  <si>
    <t>Dia 1000mm upto 2-3m depth</t>
  </si>
  <si>
    <t>a) Dia 200</t>
  </si>
  <si>
    <t>Pumping Stations</t>
  </si>
  <si>
    <t>11.2  Excess and Return pumping station</t>
  </si>
  <si>
    <t>11.2.1.1</t>
  </si>
  <si>
    <t>11.2.2 CONCRETE WORK</t>
  </si>
  <si>
    <t>11.2.2.3</t>
  </si>
  <si>
    <t>11.2.2.4</t>
  </si>
  <si>
    <t>11.2.2.5</t>
  </si>
  <si>
    <t>11.1.2.6</t>
  </si>
  <si>
    <r>
      <t>5th</t>
    </r>
    <r>
      <rPr>
        <b/>
        <sz val="12"/>
        <color indexed="8"/>
        <rFont val="Centaur"/>
        <family val="1"/>
      </rPr>
      <t xml:space="preserve">  SUPPLEMNTARY Agreement </t>
    </r>
  </si>
  <si>
    <t>SA-5 Additional Sanitory Works</t>
  </si>
  <si>
    <t>Vo-3</t>
  </si>
  <si>
    <t>Waste Water Drainage at Pipe Culvert</t>
  </si>
  <si>
    <t>Vo-1</t>
  </si>
  <si>
    <t>Site Preparation Lot 2</t>
  </si>
  <si>
    <t xml:space="preserve">6.2.3) Water tight RCC C-30 concrete class </t>
  </si>
  <si>
    <t xml:space="preserve">6.2.6)Supply and install approved quality PVC water stopper at construction joints and as directed by the Engineer. </t>
  </si>
  <si>
    <t>6.2.4)Provide, cut and fix in position sawn structural wood or steel formwork which ever is appropriate.</t>
  </si>
  <si>
    <t>Total for this payment</t>
  </si>
  <si>
    <t>6.2.5)Mild steel reinforcement according to structural drawings. Price includes cutting, bending, placing in position, tying  wire and concrete spacers.</t>
  </si>
  <si>
    <t>Horzontal=51.8+0.3*4+0.6=53.6</t>
  </si>
  <si>
    <t>Vertical=2+0.3=2.3</t>
  </si>
  <si>
    <t>Total Weight</t>
  </si>
  <si>
    <t>Unit Wt.(kg/mL)</t>
  </si>
  <si>
    <t>Total Length</t>
  </si>
  <si>
    <t>DORTMUND TANK</t>
  </si>
  <si>
    <t>per mem</t>
  </si>
  <si>
    <t>Member</t>
  </si>
  <si>
    <t>Re-bars</t>
  </si>
  <si>
    <t>No.of bar</t>
  </si>
  <si>
    <t>L</t>
  </si>
  <si>
    <t>Ø</t>
  </si>
  <si>
    <t>Bar 
No</t>
  </si>
  <si>
    <t>Bottom slab</t>
  </si>
  <si>
    <t>GIZ</t>
  </si>
  <si>
    <t>Client</t>
  </si>
  <si>
    <t>MHE</t>
  </si>
  <si>
    <t>Consultant</t>
  </si>
  <si>
    <t>Average Width = 1.0 + 0.5/2  = 0.75</t>
  </si>
  <si>
    <t>7.2.2)Water tight Reinforced concrete quality C-30,           400 kg of cement/m3 and Conplast WP-400 or equivalent water tight admixture 8Lit/m3 filled in to form work and vibrated around rod reinforcement (Formwork and reinforcement measured separately)</t>
  </si>
  <si>
    <t>Yohannes T/M</t>
  </si>
  <si>
    <t>Inclianed Beam</t>
  </si>
  <si>
    <t>b) Dia 50</t>
  </si>
  <si>
    <t>a)) Dia 40</t>
  </si>
  <si>
    <t>c) Dia 90</t>
  </si>
  <si>
    <t>33.16b)Reinforced drain cover 1.5x0.3x0.1m</t>
  </si>
  <si>
    <t xml:space="preserve">7.2.6)Supply &amp; Install approved quality PVC water stopper at construction joints </t>
  </si>
  <si>
    <t>15.6.2</t>
  </si>
  <si>
    <t xml:space="preserve">Supplay&amp; fix Flush type Wooden Doors of 40cm  thick both side covered with 4mm thick ply wood  </t>
  </si>
  <si>
    <t>a)D3 size 990*2990</t>
  </si>
  <si>
    <t>b)D3 size 800*2990</t>
  </si>
  <si>
    <t xml:space="preserve">15.6.2)Supplay&amp; fix Flush type Wooden Doors of 40cm  thick both side covered with 4mm thick ply wood  </t>
  </si>
  <si>
    <t>e)  W5 size 3790x1990mm ABOVE TOP TIE BEAM</t>
  </si>
  <si>
    <t>size=3.8*0.75=2.85m2</t>
  </si>
  <si>
    <t>size=2.8*0.75=2.1m2</t>
  </si>
  <si>
    <r>
      <t>m</t>
    </r>
    <r>
      <rPr>
        <vertAlign val="superscript"/>
        <sz val="12"/>
        <rFont val="Cambria"/>
        <family val="1"/>
        <scheme val="major"/>
      </rPr>
      <t>2</t>
    </r>
  </si>
  <si>
    <t>Accordig to letterMHE/UCBP/5074/13</t>
  </si>
  <si>
    <t>¾¡õÁ Ue¡` ¨[kƒ  16</t>
  </si>
  <si>
    <t>material  from the out  site</t>
  </si>
  <si>
    <t xml:space="preserve"> from Emergency Septic Tank to Sand Trap</t>
  </si>
  <si>
    <t>1.2) Geo-Textile linning(400m/m2)  work  complet with  all necessay accessories and fixing mechanisms in accordance with the technical specification and detailed drawing.</t>
  </si>
  <si>
    <t>Total for This Payment</t>
  </si>
  <si>
    <t>1.3) Geo-Membrane 2mm thick high density(HD)geo-membrane complet with  all necessay accessories and fixing mechanisms in accordance with the technical specification and detailed drawing.</t>
  </si>
  <si>
    <t xml:space="preserve">  In 2 sludge drying bed</t>
  </si>
  <si>
    <r>
      <t>m</t>
    </r>
    <r>
      <rPr>
        <b/>
        <vertAlign val="superscript"/>
        <sz val="12"/>
        <rFont val="Times New Roman"/>
        <family val="1"/>
      </rPr>
      <t>2</t>
    </r>
  </si>
  <si>
    <r>
      <t>Area=29*25=725m</t>
    </r>
    <r>
      <rPr>
        <b/>
        <vertAlign val="superscript"/>
        <sz val="11"/>
        <rFont val="Times New Roman"/>
        <family val="1"/>
      </rPr>
      <t>2</t>
    </r>
  </si>
  <si>
    <t>Area=29*25=725m2</t>
  </si>
  <si>
    <t>Gebru G/medhin</t>
  </si>
  <si>
    <t xml:space="preserve"> from UV Disinfection to Raw water pumping station</t>
  </si>
  <si>
    <t>From UV Disinfection to Raw Water Pumping Station</t>
  </si>
  <si>
    <t>Unit</t>
  </si>
  <si>
    <t>e) 250mm thick inclined slab</t>
  </si>
  <si>
    <t>8.2.4) Form Work</t>
  </si>
  <si>
    <t>8.2.2) Mild Steel Re-bar</t>
  </si>
  <si>
    <t>b) Dia 12mm</t>
  </si>
  <si>
    <t>3.1) Excavation and Earth Work</t>
  </si>
  <si>
    <t>3.1.4) Fill around RC Wall</t>
  </si>
  <si>
    <t>e) To 250mm  inclinedslab</t>
  </si>
  <si>
    <t>8.2.6) PVC Water Stoper</t>
  </si>
  <si>
    <t>Site Road</t>
  </si>
  <si>
    <t>f) To 250mm thick inclined slab</t>
  </si>
  <si>
    <t>F) 250mm inclined slab</t>
  </si>
  <si>
    <t>Construct Dia.1000mm and 100mm thick reinforced concrete perfotated pipe inside sludge drying beds completed with 3000mm thick mass concrete support as shown on the drawing. Depth 2300mm</t>
  </si>
  <si>
    <t>1.4 Construct Perforated Pipe in SDBs</t>
  </si>
  <si>
    <t>a) dia. 10mm deformed bars</t>
  </si>
  <si>
    <t>Emergency Tank</t>
  </si>
  <si>
    <t>Volume of Excavation</t>
  </si>
  <si>
    <t>Volume of Structure diduct</t>
  </si>
  <si>
    <t>Fill Volume</t>
  </si>
  <si>
    <t>42.00 Road Way and Borrow Excavation</t>
  </si>
  <si>
    <t>Total for this  Payment</t>
  </si>
  <si>
    <t>1'</t>
  </si>
  <si>
    <t>Wall</t>
  </si>
  <si>
    <t>and</t>
  </si>
  <si>
    <t>Top Slab</t>
  </si>
  <si>
    <t>Suspended</t>
  </si>
  <si>
    <t>Slab</t>
  </si>
  <si>
    <t>Rain Water Pumping Station</t>
  </si>
  <si>
    <t>Correction</t>
  </si>
  <si>
    <t xml:space="preserve">Work in </t>
  </si>
  <si>
    <t>4'</t>
  </si>
  <si>
    <t>4"</t>
  </si>
  <si>
    <t>m3 Total in c</t>
  </si>
  <si>
    <t>m3 Total in d</t>
  </si>
  <si>
    <t>steel form work</t>
  </si>
  <si>
    <t>m2 Total in c</t>
  </si>
  <si>
    <t>d) To suspended slab</t>
  </si>
  <si>
    <t>m2 Total in d</t>
  </si>
  <si>
    <t>e)In 250mm thick RC wall</t>
  </si>
  <si>
    <t>f)In 250mm thick suspended slab</t>
  </si>
  <si>
    <t>m3 Total in e</t>
  </si>
  <si>
    <t>m3 Total in f</t>
  </si>
  <si>
    <t>Aeration tank</t>
  </si>
  <si>
    <t>g)In 400mm thick suspended slab</t>
  </si>
  <si>
    <t xml:space="preserve">m3 </t>
  </si>
  <si>
    <t>7.2.4 Mild steel reinforcement according to structural drawing.</t>
  </si>
  <si>
    <t>b) Dia 10 mm deformed bar</t>
  </si>
  <si>
    <t>a) Dia 8 mm deformed bar</t>
  </si>
  <si>
    <t>g) In 400mm thick suspended slab</t>
  </si>
  <si>
    <t>m2 Total in RC wall</t>
  </si>
  <si>
    <t>m2 Total</t>
  </si>
  <si>
    <t>1.1.4 Slotted Upvc Pipe</t>
  </si>
  <si>
    <t xml:space="preserve">Previous </t>
  </si>
  <si>
    <t xml:space="preserve">Total For this Payment </t>
  </si>
  <si>
    <t>Connection of Infrastructure Utilities</t>
  </si>
  <si>
    <t>to WWTP</t>
  </si>
  <si>
    <t>1. Water Supply Installation</t>
  </si>
  <si>
    <t>1.1 HDPE Pipe</t>
  </si>
  <si>
    <t>Dia.63mm (out Side diameter</t>
  </si>
  <si>
    <t>3. Earth Work</t>
  </si>
  <si>
    <t>3.1 . Trench Execavation</t>
  </si>
  <si>
    <t>b) . Soft Rock</t>
  </si>
  <si>
    <t>1-2m Depth, Width = 0.8m</t>
  </si>
  <si>
    <t xml:space="preserve">Connection of Ifrastructure Utilities to WWTP </t>
  </si>
  <si>
    <t>Water Supply  Installation</t>
  </si>
  <si>
    <t>HDPE Pipe</t>
  </si>
  <si>
    <t xml:space="preserve">Supply and install HDPE (PN 10) pipes below ground installation completed with all accessories      </t>
  </si>
  <si>
    <t>Earth Work</t>
  </si>
  <si>
    <t>Trench Excavation</t>
  </si>
  <si>
    <t>b) Soft Rock</t>
  </si>
  <si>
    <t>3.1. Back filling and Compaction</t>
  </si>
  <si>
    <t xml:space="preserve"> Back filling and Compaction with Sellected material</t>
  </si>
  <si>
    <t>Back filling and Compaction</t>
  </si>
  <si>
    <t>Back filling and Compaction from excavated sellected material</t>
  </si>
  <si>
    <t xml:space="preserve">Cart away </t>
  </si>
  <si>
    <t>Cart away  excess excavated material at suitable trip</t>
  </si>
  <si>
    <t>Connection of Infrasructure to WWTP</t>
  </si>
  <si>
    <t>Dortmund Tank , SDBs and Inlet pumping Station</t>
  </si>
  <si>
    <t>8.Dortmund Tank</t>
  </si>
  <si>
    <t>8.2.5 Mild steel reinforcement bars</t>
  </si>
  <si>
    <t>Total For this Payment</t>
  </si>
  <si>
    <t>11. Inlet water Pumping Station</t>
  </si>
  <si>
    <t xml:space="preserve">a) Dia.10mm </t>
  </si>
  <si>
    <t>11.2.4. Mild steel reinforcemet bars</t>
  </si>
  <si>
    <t xml:space="preserve">11.2.5. PVC Water Stopper </t>
  </si>
  <si>
    <t>9) Sludge Drying Beds</t>
  </si>
  <si>
    <t>9.2.4. Mild Steel reinforcement bars</t>
  </si>
  <si>
    <t xml:space="preserve">a) Dia.12mm </t>
  </si>
  <si>
    <t>B) Dia 14mm</t>
  </si>
  <si>
    <t>Total For this payment</t>
  </si>
  <si>
    <t>C) Dia 14mm Previous</t>
  </si>
  <si>
    <t>1.Site preparation</t>
  </si>
  <si>
    <t>1.2.1. Stone Masonry Retaining Wall</t>
  </si>
  <si>
    <t>A=(1+0.5)/2 *18</t>
  </si>
  <si>
    <t>V=</t>
  </si>
  <si>
    <t>d) Dia 16 mm deformed bar</t>
  </si>
  <si>
    <t>c) Dia 12 mm deformed bar</t>
  </si>
  <si>
    <t>1.1.2) Ditto as above but UPVC (PN10) Pressure Pipes with fittings</t>
  </si>
  <si>
    <t xml:space="preserve"> 1.1.3) Polyethylene (PN10)  pipe works above and below ground installation for flushing connection</t>
  </si>
  <si>
    <t>Var. no.06</t>
  </si>
  <si>
    <t>1) Fuel Tank Foundation</t>
  </si>
  <si>
    <t>1.02) Reinforced Concrete C -25 in footing</t>
  </si>
  <si>
    <t>1.03) Mild Steel  Reinforcement</t>
  </si>
  <si>
    <t>a) Dia 10mm</t>
  </si>
  <si>
    <t>1.05) Steel Form Work</t>
  </si>
  <si>
    <t>a) In footing</t>
  </si>
  <si>
    <t>14. Service Boulding</t>
  </si>
  <si>
    <t>Modification work for Generater Location</t>
  </si>
  <si>
    <t xml:space="preserve">1. Correction work </t>
  </si>
  <si>
    <t>a)  RC floor slab price including of concrete and steel re-bar</t>
  </si>
  <si>
    <t xml:space="preserve">b)  25 cm thick hard core and re-use again for new concrete casting </t>
  </si>
  <si>
    <t xml:space="preserve">c) Excavate the exsting selected material to an appropriat depth </t>
  </si>
  <si>
    <t>1.1) Removal of the existing construction and make ready for new floor slab casting</t>
  </si>
  <si>
    <t>1.2) Removal of vertical surfaces</t>
  </si>
  <si>
    <t>a)  Door: Type Door-09: size :1410*3010</t>
  </si>
  <si>
    <t>b)  Windows: Type w-05: size :870*800mm</t>
  </si>
  <si>
    <t>1.2.2) Removal of the existing HCB wall in two wing parts of block</t>
  </si>
  <si>
    <t>2) Excavation and Earth Work</t>
  </si>
  <si>
    <t>2.1) Trench excavation to lay cable trench to a depth not exceeding 1.5m in ordinary siol</t>
  </si>
  <si>
    <t>2.2) Cart away surplus excavated material to an aproprite trip</t>
  </si>
  <si>
    <t>2.3) Re-use 250mm thick basaltic stone hard core</t>
  </si>
  <si>
    <t>3) Concrete Work</t>
  </si>
  <si>
    <t>3.1) Reinforced Concrete quality C-25</t>
  </si>
  <si>
    <t>a)  To Generater pad (floor slab )</t>
  </si>
  <si>
    <t xml:space="preserve">b) To concrete cable Trench duct </t>
  </si>
  <si>
    <t xml:space="preserve">c) To 50mm thick R.C cover for electric  cable  duct </t>
  </si>
  <si>
    <t>d) To 100mm thick ground floor slab suround of genetator pad</t>
  </si>
  <si>
    <t>3.2) Provide, cut and fix in position swam structural wood or steel form work which ever is approprite.</t>
  </si>
  <si>
    <t>b) To concrete cable Trench duct and R.C Cover</t>
  </si>
  <si>
    <t>3.3) Mild steel reinforcement according to structural drawings</t>
  </si>
  <si>
    <t>a) Dia 8 mm deformed bars</t>
  </si>
  <si>
    <t>b) Dia 10 mm deformed bars</t>
  </si>
  <si>
    <t>b) Dia 14 mm deformed bars</t>
  </si>
  <si>
    <t>4) Block Work</t>
  </si>
  <si>
    <t>4.1) Class C. 190mm thick HCB which can satisfy the designed strength, bedded in cement mortar(1:3)  including pointing on both side of wall surface</t>
  </si>
  <si>
    <t>5) Manholes</t>
  </si>
  <si>
    <t>a) Manholes in bricks and with concrete base internally of 1100x1100 with a depth 900 including reinforced concrete cover with lifting handle.</t>
  </si>
  <si>
    <t>Service Building Modification work</t>
  </si>
  <si>
    <t>1.1) Excavation and Earth Work</t>
  </si>
  <si>
    <t>1.1.1) Bulk excavation in ordinary siol for UV Disinfection to not exceeding 3000 mm</t>
  </si>
  <si>
    <t>UV- Disinfection</t>
  </si>
  <si>
    <t>1.1.2) Fill around RC wall in non expansive excavated material to an approprite tirp</t>
  </si>
  <si>
    <t>1.1.3) Load Cart away surplus excavated material to an aproprite trip</t>
  </si>
  <si>
    <t>1.2) Concrete Work</t>
  </si>
  <si>
    <t>1.2.1) 50 mm lean Concrete Work quality C-5</t>
  </si>
  <si>
    <t>a)  Under bottom slab</t>
  </si>
  <si>
    <t>1.2.2) Water tight reinforced concrete quality C-30, 400kg of cement/m3</t>
  </si>
  <si>
    <t>a) In RC 800mm thick bottom slab</t>
  </si>
  <si>
    <t>b) In RC 500mm thick bottom slab</t>
  </si>
  <si>
    <t>c) In RC 400mm thick bottom slab</t>
  </si>
  <si>
    <t xml:space="preserve"> In RC 750mm thick Pedstal PD - 2</t>
  </si>
  <si>
    <t>d) In RC 300mm thick bottom slab</t>
  </si>
  <si>
    <t>e) In RC 250mm thick wall</t>
  </si>
  <si>
    <t>Total in e</t>
  </si>
  <si>
    <t>1.2.3) Provide, cut and fix in position swam structural wood or steel form work which ever is approprite.</t>
  </si>
  <si>
    <t xml:space="preserve">a)  To RC bottom slab </t>
  </si>
  <si>
    <t xml:space="preserve"> Total in a</t>
  </si>
  <si>
    <t xml:space="preserve">b)  To 250 mm thick wall </t>
  </si>
  <si>
    <t xml:space="preserve"> Total in b</t>
  </si>
  <si>
    <t>1.2.4) Mild steel reinforcement according to structural drawings</t>
  </si>
  <si>
    <t>a) Dia 10 mm deformed bars</t>
  </si>
  <si>
    <t>b) Dia 12 mm deformed bars</t>
  </si>
  <si>
    <t>c) Dia 14 mm deformed bars</t>
  </si>
  <si>
    <t>1.01) Lean concrete under footing</t>
  </si>
  <si>
    <t>In pedstals</t>
  </si>
  <si>
    <t>Total in a</t>
  </si>
  <si>
    <t xml:space="preserve">                                         Sub Total </t>
  </si>
  <si>
    <t xml:space="preserve">                                        Sub  Total </t>
  </si>
  <si>
    <t>Raw Water Pumping Station</t>
  </si>
  <si>
    <t>Civil Work</t>
  </si>
  <si>
    <t>11.4.1. Excavation and Earth Work</t>
  </si>
  <si>
    <t>11.4.5 Load and cart away surplus excavated material to approprite trip</t>
  </si>
  <si>
    <t>11.4.2. Concrete Work</t>
  </si>
  <si>
    <t>11.4.2.1 50 mm C- 5 lean Concrete, minimum cement content 150 kg/m3</t>
  </si>
  <si>
    <t>11.4.2.2  Water tight Reinforced Concrete, quality C-30  400 kg/m3 and complast WP - 400 filled to form work</t>
  </si>
  <si>
    <t>In Suspende slab wall</t>
  </si>
  <si>
    <t>11.4.2.3 Provide, cut and fix in position sawn structural wood or steel form work</t>
  </si>
  <si>
    <t>Total in b</t>
  </si>
  <si>
    <t>11.4.2.4  Mild steel Re-bar according to structural drawings.</t>
  </si>
  <si>
    <t>a) Dia 10mm deformed bar</t>
  </si>
  <si>
    <t>b) Dia 12mm deformed bar</t>
  </si>
  <si>
    <t>PVC Water Stoper</t>
  </si>
  <si>
    <t>Sludge Drying Beds</t>
  </si>
  <si>
    <t>9.3.4 Filter Media</t>
  </si>
  <si>
    <t>Dia 0 - 2mm,20cm thick sand</t>
  </si>
  <si>
    <t>Dia 0 - 12mm, 6cm thick sand</t>
  </si>
  <si>
    <t>11.4.1</t>
  </si>
  <si>
    <t>11.4.1.1</t>
  </si>
  <si>
    <t>11.4.1.1 Pit excavation in ordinary siol to a depth not exceeding 1500 mm</t>
  </si>
  <si>
    <t>11.4.1.2 Ditto but to a depth  exceeding 1500 mm but not exeeding 3000mm</t>
  </si>
  <si>
    <t>11.4.1.3 Ditto but to a depth  exceeding 3000mm mm but not exeeding 6000mm</t>
  </si>
  <si>
    <t xml:space="preserve">Supply and spread  grannular filter media in the SDB -1 </t>
  </si>
  <si>
    <t xml:space="preserve">Supply and spread  grannular filter media in the SDB -2 </t>
  </si>
  <si>
    <t xml:space="preserve">Supply and spread  grannular filter media in the SDB -3 </t>
  </si>
  <si>
    <t xml:space="preserve">Supply and spread  grannular filter media in the SDB -4 </t>
  </si>
  <si>
    <t>9.3  SANITARY WORK</t>
  </si>
  <si>
    <t>9.3.4</t>
  </si>
  <si>
    <t>Filter Media</t>
  </si>
  <si>
    <t>Supply and spread grannular filter media in the sudge drying beds for the infltretion of the water with in the sludge</t>
  </si>
  <si>
    <t>Dia 0-2mm, 20cm thick sand</t>
  </si>
  <si>
    <t>Dia 0-12mm, 6cm thick sand</t>
  </si>
  <si>
    <t xml:space="preserve">42.01(a) ii Borrow to fill and Compaction </t>
  </si>
  <si>
    <t xml:space="preserve">42.01  Cut and Borrow to fill </t>
  </si>
  <si>
    <t>Station 0+000</t>
  </si>
  <si>
    <t>Bottom width = 8 m</t>
  </si>
  <si>
    <t>Top width = 6 m</t>
  </si>
  <si>
    <t>8+6/2 = 7 m</t>
  </si>
  <si>
    <t>Station 0+020</t>
  </si>
  <si>
    <t>Station 0+040</t>
  </si>
  <si>
    <t>Station 0+060</t>
  </si>
  <si>
    <t>Station 0+080</t>
  </si>
  <si>
    <t>Station 0+100</t>
  </si>
  <si>
    <t>Station 0+120</t>
  </si>
  <si>
    <t>Station 0+140</t>
  </si>
  <si>
    <t>Station 0+160</t>
  </si>
  <si>
    <t>Station 0+180</t>
  </si>
  <si>
    <t>Station 0+200</t>
  </si>
  <si>
    <t>Station 0+220</t>
  </si>
  <si>
    <t>Total Fill Volume</t>
  </si>
  <si>
    <t>PUMING STATIONS  (Inlet,  Excess Return Raw water)</t>
  </si>
  <si>
    <t xml:space="preserve"> Road 02</t>
  </si>
  <si>
    <t>with Slope 1:2</t>
  </si>
  <si>
    <t>Bottom width = 8.4 m</t>
  </si>
  <si>
    <t>8.4+6/2 = 7 m</t>
  </si>
  <si>
    <t>Fill = 0.61</t>
  </si>
  <si>
    <t xml:space="preserve">  Averege width =</t>
  </si>
  <si>
    <t>m</t>
  </si>
  <si>
    <t>Bottom width = 12.4 m</t>
  </si>
  <si>
    <t>12.4+6/2 = 9.2 m</t>
  </si>
  <si>
    <t>Fill = 1.6 m</t>
  </si>
  <si>
    <t>Station</t>
  </si>
  <si>
    <t>Fill Area (m^2)</t>
  </si>
  <si>
    <t>Fill Volume (m^3)</t>
  </si>
  <si>
    <t>0+000 to 000+220</t>
  </si>
  <si>
    <t>vbkl]</t>
  </si>
  <si>
    <t>Site Road 02</t>
  </si>
  <si>
    <t>Top fill width in(m)</t>
  </si>
  <si>
    <t>Fill Depth in (m)</t>
  </si>
  <si>
    <t>Bottom Fill Width  in (m)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</si>
</sst>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#,##0.00;[Red]#,##0.00"/>
    <numFmt numFmtId="165" formatCode="0.00;[Red]0.00"/>
    <numFmt numFmtId="166" formatCode="#,##0.0"/>
    <numFmt numFmtId="167" formatCode="0.0"/>
    <numFmt numFmtId="168" formatCode="000&quot;+&quot;000"/>
    <numFmt numFmtId="169" formatCode="0.000"/>
  </numFmts>
  <fonts count="16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2"/>
      <name val="Centaur"/>
      <family val="1"/>
    </font>
    <font>
      <b/>
      <sz val="12"/>
      <name val="Centaur"/>
      <family val="1"/>
    </font>
    <font>
      <sz val="9"/>
      <name val="Arial"/>
      <family val="2"/>
    </font>
    <font>
      <b/>
      <u/>
      <sz val="13"/>
      <name val="Ge'ez-1"/>
      <family val="2"/>
    </font>
    <font>
      <b/>
      <u/>
      <sz val="13"/>
      <name val="Arial"/>
      <family val="2"/>
    </font>
    <font>
      <b/>
      <i/>
      <sz val="9"/>
      <name val="Ge'ez-1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b/>
      <i/>
      <u/>
      <sz val="9"/>
      <name val="Book Antiqua"/>
      <family val="1"/>
    </font>
    <font>
      <i/>
      <sz val="9"/>
      <name val="Ge'ez-1"/>
      <family val="2"/>
    </font>
    <font>
      <b/>
      <i/>
      <sz val="8"/>
      <name val="Ge'ez-1"/>
      <family val="2"/>
    </font>
    <font>
      <i/>
      <sz val="10"/>
      <name val="Ge'ez-1"/>
      <family val="2"/>
    </font>
    <font>
      <i/>
      <sz val="1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i/>
      <sz val="10"/>
      <name val="Ge'ez-1"/>
      <family val="2"/>
    </font>
    <font>
      <b/>
      <i/>
      <sz val="10"/>
      <name val="Book Antiqua"/>
      <family val="1"/>
    </font>
    <font>
      <i/>
      <sz val="11"/>
      <name val="Arial"/>
      <family val="2"/>
    </font>
    <font>
      <i/>
      <sz val="8"/>
      <name val="Ge'ez-1"/>
      <family val="2"/>
    </font>
    <font>
      <b/>
      <sz val="11"/>
      <name val="Times New Roman"/>
      <family val="1"/>
    </font>
    <font>
      <i/>
      <sz val="9"/>
      <name val="Times New Roman"/>
      <family val="1"/>
    </font>
    <font>
      <b/>
      <i/>
      <u/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i/>
      <sz val="9"/>
      <name val="Times New Roman"/>
      <family val="1"/>
    </font>
    <font>
      <b/>
      <i/>
      <u/>
      <sz val="9"/>
      <name val="Times New Roman"/>
      <family val="1"/>
    </font>
    <font>
      <i/>
      <sz val="10"/>
      <name val="Helv"/>
      <charset val="204"/>
    </font>
    <font>
      <i/>
      <sz val="12"/>
      <name val="Times New Roman"/>
      <family val="1"/>
    </font>
    <font>
      <i/>
      <sz val="10"/>
      <name val="Times New Roman"/>
      <family val="1"/>
    </font>
    <font>
      <i/>
      <sz val="12"/>
      <name val="Ge'ez-1"/>
      <family val="2"/>
    </font>
    <font>
      <i/>
      <sz val="12"/>
      <name val="Visual Geez Unicode"/>
    </font>
    <font>
      <sz val="10"/>
      <name val="Ge'ez-1"/>
      <family val="2"/>
    </font>
    <font>
      <i/>
      <sz val="12"/>
      <name val="Arial"/>
      <family val="2"/>
    </font>
    <font>
      <sz val="12"/>
      <name val="Cambria"/>
      <family val="1"/>
    </font>
    <font>
      <vertAlign val="superscript"/>
      <sz val="12"/>
      <name val="Cambria"/>
      <family val="1"/>
    </font>
    <font>
      <sz val="9"/>
      <name val="Geneva"/>
    </font>
    <font>
      <sz val="1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u/>
      <sz val="14"/>
      <name val="Cambria"/>
      <family val="1"/>
    </font>
    <font>
      <b/>
      <u/>
      <vertAlign val="superscript"/>
      <sz val="14"/>
      <name val="Cambria"/>
      <family val="1"/>
    </font>
    <font>
      <sz val="14"/>
      <name val="Arial"/>
      <family val="2"/>
    </font>
    <font>
      <b/>
      <sz val="12"/>
      <name val="Book Antiqua"/>
      <family val="1"/>
    </font>
    <font>
      <sz val="12"/>
      <name val="Book Antiqua"/>
      <family val="1"/>
    </font>
    <font>
      <vertAlign val="superscript"/>
      <sz val="12"/>
      <name val="Book Antiqua"/>
      <family val="1"/>
    </font>
    <font>
      <sz val="12"/>
      <color indexed="8"/>
      <name val="Centaur"/>
      <family val="1"/>
    </font>
    <font>
      <vertAlign val="superscript"/>
      <sz val="12"/>
      <color indexed="8"/>
      <name val="Centaur"/>
      <family val="1"/>
    </font>
    <font>
      <b/>
      <i/>
      <sz val="26"/>
      <name val="Forte"/>
      <family val="4"/>
    </font>
    <font>
      <b/>
      <sz val="16"/>
      <color indexed="8"/>
      <name val="Cambria"/>
      <family val="1"/>
    </font>
    <font>
      <b/>
      <sz val="16"/>
      <color indexed="8"/>
      <name val="Forte"/>
      <family val="4"/>
    </font>
    <font>
      <b/>
      <sz val="12"/>
      <color indexed="8"/>
      <name val="Centaur"/>
      <family val="1"/>
    </font>
    <font>
      <b/>
      <vertAlign val="superscript"/>
      <sz val="12"/>
      <color indexed="8"/>
      <name val="Centaur"/>
      <family val="1"/>
    </font>
    <font>
      <b/>
      <i/>
      <sz val="16"/>
      <color indexed="8"/>
      <name val="Forte"/>
      <family val="4"/>
    </font>
    <font>
      <sz val="12"/>
      <color indexed="10"/>
      <name val="Book Antiqua"/>
      <family val="1"/>
    </font>
    <font>
      <sz val="12"/>
      <color indexed="8"/>
      <name val="Book Antiqua"/>
      <family val="1"/>
    </font>
    <font>
      <sz val="11"/>
      <name val="Arial"/>
      <family val="2"/>
    </font>
    <font>
      <b/>
      <i/>
      <sz val="9"/>
      <name val="Book Antiqua"/>
      <family val="1"/>
    </font>
    <font>
      <i/>
      <sz val="9"/>
      <name val="Helv"/>
      <charset val="204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ahoma"/>
      <family val="2"/>
      <charset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name val="Cambria"/>
      <family val="1"/>
      <scheme val="major"/>
    </font>
    <font>
      <sz val="10"/>
      <name val="Cambria"/>
      <family val="1"/>
      <scheme val="major"/>
    </font>
    <font>
      <b/>
      <u/>
      <sz val="14"/>
      <name val="Cambria"/>
      <family val="1"/>
      <scheme val="major"/>
    </font>
    <font>
      <b/>
      <sz val="12"/>
      <name val="Cambria"/>
      <family val="1"/>
      <scheme val="major"/>
    </font>
    <font>
      <b/>
      <sz val="10"/>
      <name val="Cambria"/>
      <family val="1"/>
      <scheme val="major"/>
    </font>
    <font>
      <b/>
      <sz val="14"/>
      <name val="Cambria"/>
      <family val="1"/>
      <scheme val="major"/>
    </font>
    <font>
      <u/>
      <sz val="12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4"/>
      <color rgb="FFFF0000"/>
      <name val="Cambria"/>
      <family val="1"/>
      <scheme val="major"/>
    </font>
    <font>
      <sz val="12"/>
      <color rgb="FFFF0000"/>
      <name val="Cambria"/>
      <family val="1"/>
      <scheme val="major"/>
    </font>
    <font>
      <sz val="14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entaur"/>
      <family val="1"/>
    </font>
    <font>
      <b/>
      <i/>
      <sz val="11"/>
      <color theme="1"/>
      <name val="Centaur"/>
      <family val="1"/>
    </font>
    <font>
      <sz val="11"/>
      <color theme="1"/>
      <name val="Centaur"/>
      <family val="1"/>
    </font>
    <font>
      <b/>
      <sz val="12"/>
      <color theme="1"/>
      <name val="Centaur"/>
      <family val="1"/>
    </font>
    <font>
      <sz val="10"/>
      <color rgb="FFFF0000"/>
      <name val="Arial"/>
      <family val="2"/>
    </font>
    <font>
      <sz val="12"/>
      <color theme="1"/>
      <name val="Centaur"/>
      <family val="1"/>
    </font>
    <font>
      <b/>
      <sz val="14"/>
      <color theme="1"/>
      <name val="Times New Roman"/>
      <family val="1"/>
    </font>
    <font>
      <b/>
      <sz val="14"/>
      <color theme="1"/>
      <name val="Centaur"/>
      <family val="1"/>
    </font>
    <font>
      <sz val="14"/>
      <color theme="1"/>
      <name val="Centaur"/>
      <family val="1"/>
    </font>
    <font>
      <i/>
      <sz val="10"/>
      <name val="Cambria"/>
      <family val="1"/>
      <scheme val="major"/>
    </font>
    <font>
      <b/>
      <i/>
      <sz val="22"/>
      <name val="Cambria"/>
      <family val="1"/>
      <scheme val="major"/>
    </font>
    <font>
      <b/>
      <u val="double"/>
      <sz val="14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0"/>
      <color theme="1"/>
      <name val="Forte"/>
      <family val="4"/>
    </font>
    <font>
      <b/>
      <sz val="11"/>
      <color theme="1"/>
      <name val="Forte"/>
      <family val="4"/>
    </font>
    <font>
      <b/>
      <sz val="14"/>
      <color theme="1"/>
      <name val="Forte"/>
      <family val="4"/>
    </font>
    <font>
      <b/>
      <sz val="1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2"/>
      <name val="Calibri"/>
      <family val="2"/>
    </font>
    <font>
      <b/>
      <sz val="9"/>
      <name val="Arial"/>
      <family val="2"/>
    </font>
    <font>
      <b/>
      <sz val="8"/>
      <name val="Arial"/>
      <family val="2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4"/>
      <name val="Helv"/>
      <charset val="204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u/>
      <sz val="14"/>
      <name val="Arial"/>
      <family val="2"/>
    </font>
    <font>
      <u/>
      <sz val="14"/>
      <name val="Arial"/>
      <family val="2"/>
    </font>
    <font>
      <sz val="14"/>
      <name val="Tw Cen MT"/>
      <family val="2"/>
    </font>
    <font>
      <sz val="14"/>
      <name val="Helv"/>
    </font>
    <font>
      <b/>
      <sz val="14"/>
      <name val="Tw Cen MT"/>
      <family val="2"/>
    </font>
    <font>
      <sz val="16"/>
      <name val="Tw Cen MT"/>
      <family val="2"/>
    </font>
    <font>
      <b/>
      <sz val="14"/>
      <name val="Helv"/>
    </font>
    <font>
      <b/>
      <sz val="14"/>
      <color theme="1"/>
      <name val="Calibri"/>
      <family val="2"/>
      <scheme val="minor"/>
    </font>
    <font>
      <b/>
      <sz val="18"/>
      <color theme="1"/>
      <name val="Forte"/>
      <family val="4"/>
    </font>
    <font>
      <sz val="11"/>
      <name val="Book Antiqua"/>
      <family val="1"/>
    </font>
    <font>
      <b/>
      <sz val="16"/>
      <name val="Tw Cen MT"/>
      <family val="2"/>
    </font>
    <font>
      <sz val="14"/>
      <color theme="1"/>
      <name val="Times New Roman"/>
      <family val="1"/>
    </font>
    <font>
      <vertAlign val="superscript"/>
      <sz val="12"/>
      <name val="Cambria"/>
      <family val="1"/>
      <scheme val="major"/>
    </font>
    <font>
      <b/>
      <vertAlign val="superscript"/>
      <sz val="12"/>
      <name val="Times New Roman"/>
      <family val="1"/>
    </font>
    <font>
      <b/>
      <vertAlign val="superscript"/>
      <sz val="11"/>
      <name val="Times New Roman"/>
      <family val="1"/>
    </font>
    <font>
      <sz val="10"/>
      <color theme="9" tint="-0.499984740745262"/>
      <name val="Arial"/>
      <family val="2"/>
    </font>
    <font>
      <sz val="11"/>
      <color theme="2"/>
      <name val="Calibri"/>
      <family val="2"/>
      <scheme val="minor"/>
    </font>
    <font>
      <sz val="22"/>
      <name val="Arial"/>
      <family val="2"/>
    </font>
    <font>
      <b/>
      <i/>
      <sz val="12"/>
      <name val="Times New Roman"/>
      <family val="1"/>
    </font>
    <font>
      <b/>
      <i/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C00000"/>
        <bgColor indexed="64"/>
      </patternFill>
    </fill>
  </fills>
  <borders count="2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ck">
        <color indexed="64"/>
      </right>
      <top style="double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ouble">
        <color indexed="64"/>
      </right>
      <top/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61">
    <xf numFmtId="0" fontId="0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7" fillId="20" borderId="1" applyNumberFormat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3" fontId="8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/>
    <xf numFmtId="0" fontId="8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9" fillId="0" borderId="0"/>
    <xf numFmtId="0" fontId="59" fillId="0" borderId="0">
      <alignment shrinkToFit="1"/>
    </xf>
    <xf numFmtId="0" fontId="3" fillId="0" borderId="0"/>
    <xf numFmtId="0" fontId="9" fillId="0" borderId="0"/>
    <xf numFmtId="0" fontId="9" fillId="23" borderId="7" applyNumberFormat="0" applyFont="0" applyAlignment="0" applyProtection="0"/>
    <xf numFmtId="0" fontId="9" fillId="23" borderId="7" applyNumberFormat="0" applyFont="0" applyAlignment="0" applyProtection="0"/>
    <xf numFmtId="0" fontId="9" fillId="23" borderId="7" applyNumberFormat="0" applyFon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9" fontId="9" fillId="0" borderId="0" applyFont="0" applyFill="0" applyBorder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1756">
    <xf numFmtId="0" fontId="0" fillId="0" borderId="0" xfId="0"/>
    <xf numFmtId="0" fontId="86" fillId="0" borderId="10" xfId="0" applyFont="1" applyBorder="1" applyAlignment="1">
      <alignment vertical="center"/>
    </xf>
    <xf numFmtId="0" fontId="87" fillId="0" borderId="11" xfId="0" applyFont="1" applyBorder="1" applyAlignment="1">
      <alignment vertical="center"/>
    </xf>
    <xf numFmtId="0" fontId="88" fillId="0" borderId="12" xfId="0" applyFont="1" applyBorder="1" applyAlignment="1">
      <alignment vertical="top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85" fillId="0" borderId="17" xfId="0" applyFont="1" applyBorder="1" applyAlignment="1">
      <alignment horizontal="center" vertical="center"/>
    </xf>
    <xf numFmtId="0" fontId="88" fillId="0" borderId="12" xfId="0" applyFont="1" applyBorder="1" applyAlignment="1">
      <alignment vertical="center"/>
    </xf>
    <xf numFmtId="0" fontId="0" fillId="0" borderId="17" xfId="0" applyBorder="1"/>
    <xf numFmtId="0" fontId="85" fillId="0" borderId="15" xfId="0" applyFont="1" applyBorder="1" applyAlignment="1">
      <alignment vertical="center"/>
    </xf>
    <xf numFmtId="0" fontId="89" fillId="0" borderId="15" xfId="0" applyFont="1" applyBorder="1" applyAlignment="1">
      <alignment vertical="center"/>
    </xf>
    <xf numFmtId="0" fontId="86" fillId="0" borderId="12" xfId="0" applyFont="1" applyBorder="1" applyAlignment="1">
      <alignment vertical="top"/>
    </xf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12" xfId="0" applyBorder="1"/>
    <xf numFmtId="0" fontId="86" fillId="0" borderId="12" xfId="0" applyFont="1" applyBorder="1" applyAlignment="1">
      <alignment vertical="center"/>
    </xf>
    <xf numFmtId="0" fontId="87" fillId="0" borderId="15" xfId="0" applyFont="1" applyBorder="1" applyAlignment="1">
      <alignment vertical="center"/>
    </xf>
    <xf numFmtId="0" fontId="86" fillId="0" borderId="13" xfId="0" applyFont="1" applyBorder="1" applyAlignment="1">
      <alignment vertical="top"/>
    </xf>
    <xf numFmtId="0" fontId="86" fillId="0" borderId="13" xfId="0" applyFont="1" applyBorder="1" applyAlignment="1">
      <alignment vertical="center"/>
    </xf>
    <xf numFmtId="0" fontId="87" fillId="0" borderId="17" xfId="0" applyFont="1" applyBorder="1" applyAlignment="1">
      <alignment vertical="center"/>
    </xf>
    <xf numFmtId="0" fontId="0" fillId="0" borderId="20" xfId="0" applyBorder="1"/>
    <xf numFmtId="0" fontId="86" fillId="0" borderId="20" xfId="0" applyFont="1" applyBorder="1"/>
    <xf numFmtId="0" fontId="85" fillId="0" borderId="20" xfId="0" applyFont="1" applyBorder="1"/>
    <xf numFmtId="0" fontId="86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1" xfId="0" applyBorder="1"/>
    <xf numFmtId="0" fontId="85" fillId="0" borderId="18" xfId="0" applyFont="1" applyBorder="1"/>
    <xf numFmtId="0" fontId="85" fillId="0" borderId="0" xfId="0" applyFont="1" applyBorder="1"/>
    <xf numFmtId="0" fontId="88" fillId="0" borderId="0" xfId="0" applyFont="1" applyBorder="1" applyAlignment="1">
      <alignment vertical="center"/>
    </xf>
    <xf numFmtId="0" fontId="88" fillId="0" borderId="0" xfId="0" applyFont="1" applyBorder="1" applyAlignment="1">
      <alignment vertical="top"/>
    </xf>
    <xf numFmtId="0" fontId="87" fillId="0" borderId="0" xfId="0" applyFont="1" applyBorder="1" applyAlignment="1">
      <alignment vertical="center"/>
    </xf>
    <xf numFmtId="0" fontId="86" fillId="0" borderId="0" xfId="0" applyFont="1" applyBorder="1" applyAlignment="1">
      <alignment vertical="center"/>
    </xf>
    <xf numFmtId="0" fontId="85" fillId="0" borderId="0" xfId="0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9" fillId="0" borderId="0" xfId="0" applyFont="1" applyBorder="1" applyAlignment="1">
      <alignment vertical="center"/>
    </xf>
    <xf numFmtId="0" fontId="86" fillId="0" borderId="0" xfId="0" applyFont="1" applyBorder="1" applyAlignment="1">
      <alignment vertical="top"/>
    </xf>
    <xf numFmtId="0" fontId="86" fillId="0" borderId="0" xfId="0" applyFont="1" applyBorder="1"/>
    <xf numFmtId="0" fontId="0" fillId="0" borderId="0" xfId="0" applyFill="1" applyBorder="1"/>
    <xf numFmtId="0" fontId="9" fillId="0" borderId="0" xfId="123"/>
    <xf numFmtId="0" fontId="25" fillId="0" borderId="0" xfId="123" applyFont="1"/>
    <xf numFmtId="0" fontId="3" fillId="0" borderId="0" xfId="123" applyFont="1"/>
    <xf numFmtId="0" fontId="28" fillId="0" borderId="0" xfId="123" applyFont="1" applyAlignment="1">
      <alignment horizontal="left"/>
    </xf>
    <xf numFmtId="0" fontId="29" fillId="0" borderId="0" xfId="123" applyFont="1"/>
    <xf numFmtId="0" fontId="30" fillId="0" borderId="0" xfId="123" applyFont="1" applyAlignment="1">
      <alignment horizontal="left"/>
    </xf>
    <xf numFmtId="0" fontId="31" fillId="0" borderId="0" xfId="123" applyFont="1" applyAlignment="1">
      <alignment horizontal="left"/>
    </xf>
    <xf numFmtId="0" fontId="31" fillId="0" borderId="0" xfId="123" applyFont="1"/>
    <xf numFmtId="0" fontId="30" fillId="0" borderId="0" xfId="123" applyFont="1" applyAlignment="1"/>
    <xf numFmtId="0" fontId="32" fillId="0" borderId="0" xfId="123" applyFont="1" applyAlignment="1">
      <alignment horizontal="left"/>
    </xf>
    <xf numFmtId="0" fontId="31" fillId="0" borderId="24" xfId="123" applyFont="1" applyBorder="1" applyAlignment="1">
      <alignment horizontal="center"/>
    </xf>
    <xf numFmtId="0" fontId="28" fillId="0" borderId="0" xfId="123" applyFont="1" applyAlignment="1"/>
    <xf numFmtId="0" fontId="30" fillId="0" borderId="0" xfId="123" applyFont="1"/>
    <xf numFmtId="0" fontId="31" fillId="0" borderId="0" xfId="123" applyFont="1" applyAlignment="1"/>
    <xf numFmtId="0" fontId="32" fillId="0" borderId="0" xfId="123" applyFont="1" applyAlignment="1"/>
    <xf numFmtId="0" fontId="30" fillId="0" borderId="24" xfId="123" applyFont="1" applyBorder="1" applyAlignment="1">
      <alignment horizontal="center" vertical="center" wrapText="1"/>
    </xf>
    <xf numFmtId="4" fontId="38" fillId="0" borderId="0" xfId="123" applyNumberFormat="1" applyFont="1" applyFill="1" applyBorder="1" applyAlignment="1">
      <alignment horizontal="center"/>
    </xf>
    <xf numFmtId="0" fontId="31" fillId="0" borderId="0" xfId="123" applyFont="1" applyAlignment="1">
      <alignment horizontal="right"/>
    </xf>
    <xf numFmtId="0" fontId="39" fillId="0" borderId="0" xfId="123" applyFont="1" applyAlignment="1">
      <alignment horizontal="right"/>
    </xf>
    <xf numFmtId="4" fontId="3" fillId="0" borderId="0" xfId="123" applyNumberFormat="1" applyFont="1"/>
    <xf numFmtId="0" fontId="33" fillId="0" borderId="25" xfId="123" applyFont="1" applyBorder="1" applyAlignment="1">
      <alignment horizontal="center"/>
    </xf>
    <xf numFmtId="0" fontId="33" fillId="0" borderId="26" xfId="123" applyFont="1" applyBorder="1" applyAlignment="1">
      <alignment horizontal="center"/>
    </xf>
    <xf numFmtId="0" fontId="33" fillId="0" borderId="27" xfId="123" applyFont="1" applyBorder="1" applyAlignment="1">
      <alignment horizontal="center"/>
    </xf>
    <xf numFmtId="0" fontId="30" fillId="0" borderId="25" xfId="123" applyFont="1" applyBorder="1" applyAlignment="1">
      <alignment horizontal="center" vertical="center" wrapText="1"/>
    </xf>
    <xf numFmtId="43" fontId="3" fillId="0" borderId="0" xfId="83" applyFont="1"/>
    <xf numFmtId="0" fontId="31" fillId="0" borderId="28" xfId="123" applyFont="1" applyBorder="1" applyAlignment="1">
      <alignment horizontal="center"/>
    </xf>
    <xf numFmtId="0" fontId="31" fillId="0" borderId="29" xfId="123" applyFont="1" applyBorder="1" applyAlignment="1">
      <alignment horizontal="center"/>
    </xf>
    <xf numFmtId="0" fontId="33" fillId="0" borderId="0" xfId="123" applyFont="1" applyAlignment="1">
      <alignment horizontal="left"/>
    </xf>
    <xf numFmtId="43" fontId="3" fillId="0" borderId="0" xfId="123" applyNumberFormat="1" applyFont="1"/>
    <xf numFmtId="0" fontId="31" fillId="0" borderId="20" xfId="123" applyFont="1" applyBorder="1" applyAlignment="1">
      <alignment horizontal="center"/>
    </xf>
    <xf numFmtId="4" fontId="29" fillId="0" borderId="30" xfId="123" applyNumberFormat="1" applyFont="1" applyBorder="1" applyAlignment="1">
      <alignment horizontal="right"/>
    </xf>
    <xf numFmtId="0" fontId="36" fillId="0" borderId="11" xfId="123" applyFont="1" applyBorder="1" applyAlignment="1">
      <alignment horizontal="center"/>
    </xf>
    <xf numFmtId="0" fontId="36" fillId="0" borderId="31" xfId="123" applyFont="1" applyBorder="1" applyAlignment="1">
      <alignment horizontal="center"/>
    </xf>
    <xf numFmtId="0" fontId="36" fillId="0" borderId="20" xfId="123" applyFont="1" applyBorder="1" applyAlignment="1">
      <alignment horizontal="center"/>
    </xf>
    <xf numFmtId="0" fontId="29" fillId="0" borderId="10" xfId="123" applyFont="1" applyBorder="1" applyAlignment="1">
      <alignment horizontal="center"/>
    </xf>
    <xf numFmtId="0" fontId="33" fillId="0" borderId="0" xfId="123" applyFont="1" applyFill="1" applyAlignment="1">
      <alignment horizontal="left"/>
    </xf>
    <xf numFmtId="0" fontId="29" fillId="0" borderId="20" xfId="123" applyFont="1" applyBorder="1" applyAlignment="1">
      <alignment horizontal="center"/>
    </xf>
    <xf numFmtId="43" fontId="36" fillId="0" borderId="30" xfId="83" applyFont="1" applyFill="1" applyBorder="1" applyAlignment="1">
      <alignment horizontal="right"/>
    </xf>
    <xf numFmtId="0" fontId="36" fillId="0" borderId="32" xfId="123" applyFont="1" applyBorder="1" applyAlignment="1">
      <alignment horizontal="center"/>
    </xf>
    <xf numFmtId="0" fontId="41" fillId="0" borderId="33" xfId="123" applyFont="1" applyBorder="1" applyAlignment="1">
      <alignment horizontal="center"/>
    </xf>
    <xf numFmtId="0" fontId="31" fillId="0" borderId="0" xfId="123" applyFont="1" applyBorder="1" applyAlignment="1">
      <alignment horizontal="center" vertical="center" wrapText="1"/>
    </xf>
    <xf numFmtId="0" fontId="41" fillId="0" borderId="0" xfId="123" applyFont="1" applyBorder="1" applyAlignment="1">
      <alignment horizontal="center"/>
    </xf>
    <xf numFmtId="43" fontId="29" fillId="0" borderId="34" xfId="83" applyFont="1" applyBorder="1" applyAlignment="1"/>
    <xf numFmtId="4" fontId="31" fillId="0" borderId="0" xfId="123" applyNumberFormat="1" applyFont="1" applyBorder="1" applyAlignment="1">
      <alignment horizontal="center"/>
    </xf>
    <xf numFmtId="0" fontId="33" fillId="0" borderId="0" xfId="123" applyFont="1" applyAlignment="1"/>
    <xf numFmtId="43" fontId="31" fillId="0" borderId="20" xfId="83" applyFont="1" applyBorder="1" applyAlignment="1">
      <alignment horizontal="left"/>
    </xf>
    <xf numFmtId="43" fontId="31" fillId="0" borderId="10" xfId="83" applyFont="1" applyBorder="1" applyAlignment="1">
      <alignment horizontal="left"/>
    </xf>
    <xf numFmtId="4" fontId="37" fillId="0" borderId="0" xfId="123" applyNumberFormat="1" applyFont="1" applyFill="1" applyBorder="1" applyAlignment="1">
      <alignment horizontal="right"/>
    </xf>
    <xf numFmtId="43" fontId="30" fillId="0" borderId="35" xfId="83" applyFont="1" applyBorder="1" applyAlignment="1">
      <alignment horizontal="left"/>
    </xf>
    <xf numFmtId="0" fontId="31" fillId="0" borderId="0" xfId="123" applyFont="1" applyBorder="1"/>
    <xf numFmtId="0" fontId="31" fillId="0" borderId="0" xfId="123" applyFont="1" applyBorder="1" applyAlignment="1">
      <alignment horizontal="left"/>
    </xf>
    <xf numFmtId="4" fontId="37" fillId="0" borderId="0" xfId="123" applyNumberFormat="1" applyFont="1" applyFill="1" applyBorder="1" applyAlignment="1">
      <alignment horizontal="center" vertical="center"/>
    </xf>
    <xf numFmtId="0" fontId="43" fillId="25" borderId="0" xfId="123" applyFont="1" applyFill="1" applyAlignment="1"/>
    <xf numFmtId="0" fontId="31" fillId="25" borderId="0" xfId="123" applyFont="1" applyFill="1"/>
    <xf numFmtId="0" fontId="44" fillId="25" borderId="0" xfId="123" applyFont="1" applyFill="1" applyAlignment="1">
      <alignment horizontal="center"/>
    </xf>
    <xf numFmtId="0" fontId="45" fillId="0" borderId="0" xfId="123" applyFont="1" applyAlignment="1">
      <alignment horizontal="left" indent="20"/>
    </xf>
    <xf numFmtId="0" fontId="46" fillId="0" borderId="0" xfId="123" applyFont="1" applyAlignment="1"/>
    <xf numFmtId="0" fontId="47" fillId="0" borderId="0" xfId="123" applyFont="1" applyAlignment="1"/>
    <xf numFmtId="0" fontId="48" fillId="0" borderId="0" xfId="123" applyFont="1" applyAlignment="1">
      <alignment horizontal="center"/>
    </xf>
    <xf numFmtId="0" fontId="25" fillId="0" borderId="0" xfId="123" applyFont="1" applyAlignment="1">
      <alignment horizontal="left"/>
    </xf>
    <xf numFmtId="0" fontId="41" fillId="0" borderId="0" xfId="123" applyFont="1" applyAlignment="1">
      <alignment horizontal="center"/>
    </xf>
    <xf numFmtId="0" fontId="50" fillId="0" borderId="0" xfId="123" applyFont="1"/>
    <xf numFmtId="14" fontId="51" fillId="0" borderId="0" xfId="123" applyNumberFormat="1" applyFont="1" applyAlignment="1">
      <alignment horizontal="center" vertical="center" wrapText="1"/>
    </xf>
    <xf numFmtId="0" fontId="52" fillId="0" borderId="0" xfId="123" applyFont="1" applyAlignment="1">
      <alignment horizontal="center" vertical="center" wrapText="1"/>
    </xf>
    <xf numFmtId="0" fontId="53" fillId="0" borderId="0" xfId="123" applyFont="1" applyAlignment="1">
      <alignment horizontal="center"/>
    </xf>
    <xf numFmtId="0" fontId="55" fillId="0" borderId="0" xfId="123" applyFont="1" applyAlignment="1"/>
    <xf numFmtId="0" fontId="56" fillId="0" borderId="0" xfId="123" applyFont="1" applyAlignment="1"/>
    <xf numFmtId="0" fontId="36" fillId="0" borderId="0" xfId="123" applyFont="1"/>
    <xf numFmtId="4" fontId="9" fillId="0" borderId="0" xfId="123" applyNumberFormat="1"/>
    <xf numFmtId="0" fontId="30" fillId="0" borderId="0" xfId="123" applyFont="1" applyBorder="1" applyAlignment="1">
      <alignment horizontal="center" vertical="center" wrapText="1"/>
    </xf>
    <xf numFmtId="43" fontId="31" fillId="0" borderId="23" xfId="82" applyFont="1" applyBorder="1" applyAlignment="1">
      <alignment horizontal="left"/>
    </xf>
    <xf numFmtId="43" fontId="31" fillId="0" borderId="14" xfId="82" applyFont="1" applyBorder="1" applyAlignment="1">
      <alignment horizontal="left"/>
    </xf>
    <xf numFmtId="43" fontId="31" fillId="0" borderId="19" xfId="82" applyFont="1" applyBorder="1" applyAlignment="1">
      <alignment horizontal="left"/>
    </xf>
    <xf numFmtId="43" fontId="31" fillId="0" borderId="23" xfId="123" applyNumberFormat="1" applyFont="1" applyBorder="1" applyAlignment="1">
      <alignment horizontal="left"/>
    </xf>
    <xf numFmtId="43" fontId="31" fillId="0" borderId="16" xfId="123" applyNumberFormat="1" applyFont="1" applyBorder="1" applyAlignment="1">
      <alignment horizontal="left"/>
    </xf>
    <xf numFmtId="0" fontId="31" fillId="0" borderId="31" xfId="123" applyFont="1" applyBorder="1" applyAlignment="1">
      <alignment horizontal="center"/>
    </xf>
    <xf numFmtId="0" fontId="90" fillId="0" borderId="36" xfId="137" applyFont="1" applyFill="1" applyBorder="1" applyAlignment="1">
      <alignment horizontal="center"/>
    </xf>
    <xf numFmtId="0" fontId="90" fillId="0" borderId="37" xfId="137" applyFont="1" applyFill="1" applyBorder="1"/>
    <xf numFmtId="43" fontId="90" fillId="0" borderId="37" xfId="82" applyFont="1" applyFill="1" applyBorder="1"/>
    <xf numFmtId="43" fontId="91" fillId="0" borderId="38" xfId="82" applyFont="1" applyFill="1" applyBorder="1"/>
    <xf numFmtId="0" fontId="92" fillId="0" borderId="0" xfId="0" applyFont="1" applyFill="1" applyBorder="1"/>
    <xf numFmtId="0" fontId="90" fillId="0" borderId="19" xfId="0" applyFont="1" applyFill="1" applyBorder="1"/>
    <xf numFmtId="0" fontId="90" fillId="0" borderId="39" xfId="0" applyFont="1" applyFill="1" applyBorder="1"/>
    <xf numFmtId="0" fontId="90" fillId="0" borderId="40" xfId="0" applyFont="1" applyFill="1" applyBorder="1"/>
    <xf numFmtId="0" fontId="90" fillId="0" borderId="41" xfId="0" applyFont="1" applyFill="1" applyBorder="1"/>
    <xf numFmtId="43" fontId="90" fillId="0" borderId="38" xfId="82" applyFont="1" applyFill="1" applyBorder="1"/>
    <xf numFmtId="0" fontId="93" fillId="0" borderId="39" xfId="137" applyFont="1" applyFill="1" applyBorder="1"/>
    <xf numFmtId="0" fontId="90" fillId="0" borderId="40" xfId="137" applyFont="1" applyFill="1" applyBorder="1"/>
    <xf numFmtId="0" fontId="90" fillId="0" borderId="41" xfId="137" applyFont="1" applyFill="1" applyBorder="1"/>
    <xf numFmtId="0" fontId="90" fillId="0" borderId="38" xfId="137" applyFont="1" applyFill="1" applyBorder="1"/>
    <xf numFmtId="0" fontId="90" fillId="0" borderId="39" xfId="137" applyFont="1" applyFill="1" applyBorder="1"/>
    <xf numFmtId="0" fontId="93" fillId="0" borderId="40" xfId="137" applyFont="1" applyFill="1" applyBorder="1"/>
    <xf numFmtId="0" fontId="90" fillId="0" borderId="37" xfId="137" applyFont="1" applyFill="1" applyBorder="1" applyAlignment="1">
      <alignment horizontal="center"/>
    </xf>
    <xf numFmtId="0" fontId="22" fillId="0" borderId="0" xfId="137" applyFill="1"/>
    <xf numFmtId="43" fontId="93" fillId="0" borderId="37" xfId="82" applyFont="1" applyFill="1" applyBorder="1"/>
    <xf numFmtId="43" fontId="93" fillId="0" borderId="38" xfId="82" applyFont="1" applyFill="1" applyBorder="1"/>
    <xf numFmtId="0" fontId="92" fillId="0" borderId="39" xfId="137" applyFont="1" applyFill="1" applyBorder="1"/>
    <xf numFmtId="0" fontId="92" fillId="0" borderId="40" xfId="137" applyFont="1" applyFill="1" applyBorder="1"/>
    <xf numFmtId="0" fontId="92" fillId="0" borderId="41" xfId="137" applyFont="1" applyFill="1" applyBorder="1"/>
    <xf numFmtId="0" fontId="93" fillId="0" borderId="41" xfId="137" applyFont="1" applyFill="1" applyBorder="1"/>
    <xf numFmtId="0" fontId="93" fillId="0" borderId="42" xfId="137" applyFont="1" applyFill="1" applyBorder="1"/>
    <xf numFmtId="0" fontId="90" fillId="0" borderId="44" xfId="137" applyFont="1" applyFill="1" applyBorder="1"/>
    <xf numFmtId="0" fontId="91" fillId="0" borderId="36" xfId="137" applyFont="1" applyFill="1" applyBorder="1" applyAlignment="1">
      <alignment horizontal="center"/>
    </xf>
    <xf numFmtId="0" fontId="91" fillId="0" borderId="0" xfId="137" applyFont="1" applyFill="1"/>
    <xf numFmtId="0" fontId="93" fillId="0" borderId="36" xfId="137" applyFont="1" applyFill="1" applyBorder="1" applyAlignment="1">
      <alignment horizontal="center"/>
    </xf>
    <xf numFmtId="165" fontId="90" fillId="0" borderId="36" xfId="137" applyNumberFormat="1" applyFont="1" applyFill="1" applyBorder="1" applyAlignment="1">
      <alignment horizontal="center"/>
    </xf>
    <xf numFmtId="0" fontId="95" fillId="0" borderId="39" xfId="137" applyFont="1" applyFill="1" applyBorder="1"/>
    <xf numFmtId="0" fontId="95" fillId="0" borderId="40" xfId="137" applyFont="1" applyFill="1" applyBorder="1"/>
    <xf numFmtId="0" fontId="96" fillId="0" borderId="41" xfId="137" applyFont="1" applyFill="1" applyBorder="1"/>
    <xf numFmtId="165" fontId="95" fillId="0" borderId="36" xfId="137" applyNumberFormat="1" applyFont="1" applyFill="1" applyBorder="1" applyAlignment="1">
      <alignment horizontal="center"/>
    </xf>
    <xf numFmtId="0" fontId="22" fillId="0" borderId="40" xfId="137" applyFill="1" applyBorder="1"/>
    <xf numFmtId="0" fontId="22" fillId="0" borderId="41" xfId="137" applyFill="1" applyBorder="1"/>
    <xf numFmtId="0" fontId="95" fillId="0" borderId="41" xfId="137" applyFont="1" applyFill="1" applyBorder="1"/>
    <xf numFmtId="165" fontId="90" fillId="0" borderId="45" xfId="137" applyNumberFormat="1" applyFont="1" applyFill="1" applyBorder="1" applyAlignment="1">
      <alignment horizontal="center"/>
    </xf>
    <xf numFmtId="0" fontId="90" fillId="0" borderId="42" xfId="137" applyFont="1" applyFill="1" applyBorder="1"/>
    <xf numFmtId="0" fontId="90" fillId="0" borderId="46" xfId="137" applyFont="1" applyFill="1" applyBorder="1" applyAlignment="1">
      <alignment horizontal="center"/>
    </xf>
    <xf numFmtId="43" fontId="90" fillId="0" borderId="46" xfId="82" applyFont="1" applyFill="1" applyBorder="1"/>
    <xf numFmtId="0" fontId="90" fillId="0" borderId="43" xfId="137" applyFont="1" applyFill="1" applyBorder="1"/>
    <xf numFmtId="43" fontId="90" fillId="0" borderId="47" xfId="82" applyFont="1" applyFill="1" applyBorder="1"/>
    <xf numFmtId="0" fontId="97" fillId="0" borderId="0" xfId="137" applyFont="1" applyFill="1"/>
    <xf numFmtId="43" fontId="29" fillId="0" borderId="29" xfId="83" applyFont="1" applyBorder="1" applyAlignment="1">
      <alignment horizontal="right"/>
    </xf>
    <xf numFmtId="43" fontId="29" fillId="0" borderId="30" xfId="83" applyFont="1" applyBorder="1" applyAlignment="1">
      <alignment horizontal="right"/>
    </xf>
    <xf numFmtId="43" fontId="29" fillId="0" borderId="30" xfId="83" applyFont="1" applyBorder="1" applyAlignment="1">
      <alignment horizontal="right" vertical="center" wrapText="1"/>
    </xf>
    <xf numFmtId="4" fontId="98" fillId="0" borderId="12" xfId="0" applyNumberFormat="1" applyFont="1" applyFill="1" applyBorder="1" applyAlignment="1">
      <alignment vertical="center"/>
    </xf>
    <xf numFmtId="4" fontId="99" fillId="0" borderId="14" xfId="0" applyNumberFormat="1" applyFont="1" applyFill="1" applyBorder="1"/>
    <xf numFmtId="4" fontId="98" fillId="0" borderId="12" xfId="0" applyNumberFormat="1" applyFont="1" applyFill="1" applyBorder="1" applyAlignment="1">
      <alignment vertical="top"/>
    </xf>
    <xf numFmtId="4" fontId="99" fillId="0" borderId="0" xfId="0" applyNumberFormat="1" applyFont="1"/>
    <xf numFmtId="4" fontId="100" fillId="0" borderId="15" xfId="0" applyNumberFormat="1" applyFont="1" applyFill="1" applyBorder="1" applyAlignment="1">
      <alignment vertical="center"/>
    </xf>
    <xf numFmtId="4" fontId="101" fillId="0" borderId="12" xfId="0" applyNumberFormat="1" applyFont="1" applyFill="1" applyBorder="1" applyAlignment="1">
      <alignment vertical="center"/>
    </xf>
    <xf numFmtId="4" fontId="101" fillId="0" borderId="13" xfId="0" applyNumberFormat="1" applyFont="1" applyFill="1" applyBorder="1" applyAlignment="1">
      <alignment vertical="center"/>
    </xf>
    <xf numFmtId="4" fontId="99" fillId="0" borderId="13" xfId="0" applyNumberFormat="1" applyFont="1" applyFill="1" applyBorder="1"/>
    <xf numFmtId="4" fontId="100" fillId="0" borderId="17" xfId="0" applyNumberFormat="1" applyFont="1" applyFill="1" applyBorder="1" applyAlignment="1">
      <alignment vertical="center"/>
    </xf>
    <xf numFmtId="4" fontId="99" fillId="0" borderId="15" xfId="0" applyNumberFormat="1" applyFont="1" applyFill="1" applyBorder="1"/>
    <xf numFmtId="4" fontId="99" fillId="0" borderId="16" xfId="0" applyNumberFormat="1" applyFont="1" applyFill="1" applyBorder="1"/>
    <xf numFmtId="4" fontId="102" fillId="0" borderId="15" xfId="0" applyNumberFormat="1" applyFont="1" applyFill="1" applyBorder="1" applyAlignment="1">
      <alignment vertical="center"/>
    </xf>
    <xf numFmtId="4" fontId="99" fillId="0" borderId="17" xfId="0" applyNumberFormat="1" applyFont="1" applyFill="1" applyBorder="1"/>
    <xf numFmtId="4" fontId="103" fillId="0" borderId="15" xfId="0" applyNumberFormat="1" applyFont="1" applyFill="1" applyBorder="1" applyAlignment="1">
      <alignment vertical="center"/>
    </xf>
    <xf numFmtId="4" fontId="99" fillId="0" borderId="18" xfId="0" applyNumberFormat="1" applyFont="1" applyFill="1" applyBorder="1"/>
    <xf numFmtId="4" fontId="99" fillId="0" borderId="0" xfId="0" applyNumberFormat="1" applyFont="1" applyFill="1" applyBorder="1"/>
    <xf numFmtId="4" fontId="99" fillId="0" borderId="19" xfId="0" applyNumberFormat="1" applyFont="1" applyFill="1" applyBorder="1"/>
    <xf numFmtId="4" fontId="101" fillId="0" borderId="12" xfId="0" applyNumberFormat="1" applyFont="1" applyFill="1" applyBorder="1" applyAlignment="1">
      <alignment vertical="top"/>
    </xf>
    <xf numFmtId="4" fontId="101" fillId="0" borderId="13" xfId="0" applyNumberFormat="1" applyFont="1" applyFill="1" applyBorder="1" applyAlignment="1">
      <alignment vertical="top"/>
    </xf>
    <xf numFmtId="4" fontId="99" fillId="0" borderId="12" xfId="0" applyNumberFormat="1" applyFont="1" applyFill="1" applyBorder="1"/>
    <xf numFmtId="4" fontId="102" fillId="0" borderId="18" xfId="0" applyNumberFormat="1" applyFont="1" applyFill="1" applyBorder="1"/>
    <xf numFmtId="4" fontId="102" fillId="0" borderId="0" xfId="0" applyNumberFormat="1" applyFont="1" applyFill="1" applyBorder="1"/>
    <xf numFmtId="4" fontId="102" fillId="0" borderId="48" xfId="0" applyNumberFormat="1" applyFont="1" applyFill="1" applyBorder="1"/>
    <xf numFmtId="4" fontId="99" fillId="0" borderId="20" xfId="0" applyNumberFormat="1" applyFont="1" applyFill="1" applyBorder="1"/>
    <xf numFmtId="4" fontId="101" fillId="0" borderId="20" xfId="0" applyNumberFormat="1" applyFont="1" applyFill="1" applyBorder="1"/>
    <xf numFmtId="4" fontId="101" fillId="0" borderId="21" xfId="0" applyNumberFormat="1" applyFont="1" applyFill="1" applyBorder="1"/>
    <xf numFmtId="4" fontId="99" fillId="0" borderId="22" xfId="0" applyNumberFormat="1" applyFont="1" applyFill="1" applyBorder="1"/>
    <xf numFmtId="4" fontId="99" fillId="0" borderId="23" xfId="0" applyNumberFormat="1" applyFont="1" applyFill="1" applyBorder="1"/>
    <xf numFmtId="4" fontId="102" fillId="0" borderId="20" xfId="0" applyNumberFormat="1" applyFont="1" applyFill="1" applyBorder="1"/>
    <xf numFmtId="4" fontId="99" fillId="0" borderId="21" xfId="0" applyNumberFormat="1" applyFont="1" applyFill="1" applyBorder="1"/>
    <xf numFmtId="4" fontId="99" fillId="0" borderId="49" xfId="0" applyNumberFormat="1" applyFont="1" applyFill="1" applyBorder="1"/>
    <xf numFmtId="4" fontId="61" fillId="0" borderId="0" xfId="137" applyNumberFormat="1" applyFont="1" applyFill="1" applyBorder="1"/>
    <xf numFmtId="4" fontId="43" fillId="0" borderId="18" xfId="137" applyNumberFormat="1" applyFont="1" applyFill="1" applyBorder="1"/>
    <xf numFmtId="4" fontId="43" fillId="0" borderId="0" xfId="137" applyNumberFormat="1" applyFont="1" applyFill="1" applyBorder="1"/>
    <xf numFmtId="4" fontId="99" fillId="0" borderId="48" xfId="0" applyNumberFormat="1" applyFont="1" applyFill="1" applyBorder="1"/>
    <xf numFmtId="4" fontId="98" fillId="26" borderId="12" xfId="0" applyNumberFormat="1" applyFont="1" applyFill="1" applyBorder="1" applyAlignment="1">
      <alignment vertical="center"/>
    </xf>
    <xf numFmtId="4" fontId="99" fillId="26" borderId="14" xfId="0" applyNumberFormat="1" applyFont="1" applyFill="1" applyBorder="1"/>
    <xf numFmtId="4" fontId="98" fillId="26" borderId="12" xfId="0" applyNumberFormat="1" applyFont="1" applyFill="1" applyBorder="1" applyAlignment="1">
      <alignment vertical="top"/>
    </xf>
    <xf numFmtId="4" fontId="99" fillId="26" borderId="0" xfId="0" applyNumberFormat="1" applyFont="1" applyFill="1"/>
    <xf numFmtId="4" fontId="99" fillId="0" borderId="50" xfId="0" applyNumberFormat="1" applyFont="1" applyFill="1" applyBorder="1"/>
    <xf numFmtId="0" fontId="85" fillId="0" borderId="0" xfId="0" applyFont="1" applyFill="1" applyBorder="1"/>
    <xf numFmtId="0" fontId="104" fillId="0" borderId="40" xfId="137" applyFont="1" applyFill="1" applyBorder="1"/>
    <xf numFmtId="0" fontId="105" fillId="0" borderId="41" xfId="137" applyFont="1" applyFill="1" applyBorder="1"/>
    <xf numFmtId="0" fontId="105" fillId="0" borderId="37" xfId="137" applyFont="1" applyFill="1" applyBorder="1" applyAlignment="1">
      <alignment horizontal="center"/>
    </xf>
    <xf numFmtId="43" fontId="105" fillId="0" borderId="37" xfId="82" applyFont="1" applyFill="1" applyBorder="1"/>
    <xf numFmtId="43" fontId="105" fillId="0" borderId="38" xfId="82" applyFont="1" applyFill="1" applyBorder="1"/>
    <xf numFmtId="4" fontId="99" fillId="0" borderId="18" xfId="0" applyNumberFormat="1" applyFont="1" applyFill="1" applyBorder="1" applyAlignment="1"/>
    <xf numFmtId="4" fontId="60" fillId="0" borderId="18" xfId="137" applyNumberFormat="1" applyFont="1" applyFill="1" applyBorder="1"/>
    <xf numFmtId="0" fontId="93" fillId="0" borderId="0" xfId="137" applyFont="1" applyFill="1" applyBorder="1"/>
    <xf numFmtId="4" fontId="99" fillId="0" borderId="18" xfId="0" applyNumberFormat="1" applyFont="1" applyBorder="1"/>
    <xf numFmtId="4" fontId="101" fillId="0" borderId="26" xfId="0" applyNumberFormat="1" applyFont="1" applyFill="1" applyBorder="1"/>
    <xf numFmtId="4" fontId="101" fillId="0" borderId="51" xfId="0" applyNumberFormat="1" applyFont="1" applyFill="1" applyBorder="1"/>
    <xf numFmtId="4" fontId="99" fillId="0" borderId="52" xfId="0" applyNumberFormat="1" applyFont="1" applyFill="1" applyBorder="1"/>
    <xf numFmtId="0" fontId="22" fillId="0" borderId="0" xfId="137" applyFill="1" applyAlignment="1">
      <alignment horizontal="center"/>
    </xf>
    <xf numFmtId="0" fontId="91" fillId="0" borderId="0" xfId="137" applyFont="1" applyFill="1" applyAlignment="1">
      <alignment horizontal="center"/>
    </xf>
    <xf numFmtId="0" fontId="97" fillId="0" borderId="0" xfId="137" applyFont="1" applyFill="1" applyAlignment="1">
      <alignment horizontal="center"/>
    </xf>
    <xf numFmtId="0" fontId="93" fillId="0" borderId="37" xfId="137" applyFont="1" applyFill="1" applyBorder="1" applyAlignment="1">
      <alignment horizontal="center"/>
    </xf>
    <xf numFmtId="0" fontId="94" fillId="0" borderId="37" xfId="137" applyFont="1" applyFill="1" applyBorder="1" applyAlignment="1">
      <alignment horizontal="center"/>
    </xf>
    <xf numFmtId="0" fontId="91" fillId="0" borderId="37" xfId="137" applyFont="1" applyFill="1" applyBorder="1" applyAlignment="1">
      <alignment horizontal="center"/>
    </xf>
    <xf numFmtId="0" fontId="93" fillId="0" borderId="39" xfId="137" applyFont="1" applyFill="1" applyBorder="1" applyAlignment="1"/>
    <xf numFmtId="0" fontId="93" fillId="0" borderId="18" xfId="137" applyFont="1" applyFill="1" applyBorder="1"/>
    <xf numFmtId="0" fontId="22" fillId="0" borderId="40" xfId="137" applyFill="1" applyBorder="1" applyAlignment="1"/>
    <xf numFmtId="0" fontId="22" fillId="0" borderId="41" xfId="137" applyFill="1" applyBorder="1" applyAlignment="1"/>
    <xf numFmtId="4" fontId="0" fillId="0" borderId="0" xfId="0" applyNumberFormat="1"/>
    <xf numFmtId="4" fontId="0" fillId="0" borderId="0" xfId="0" applyNumberFormat="1" applyFill="1" applyBorder="1"/>
    <xf numFmtId="4" fontId="0" fillId="0" borderId="16" xfId="0" applyNumberFormat="1" applyFill="1" applyBorder="1"/>
    <xf numFmtId="4" fontId="0" fillId="0" borderId="17" xfId="0" applyNumberFormat="1" applyFill="1" applyBorder="1"/>
    <xf numFmtId="4" fontId="0" fillId="0" borderId="18" xfId="0" applyNumberFormat="1" applyFill="1" applyBorder="1"/>
    <xf numFmtId="4" fontId="0" fillId="0" borderId="19" xfId="0" applyNumberFormat="1" applyFill="1" applyBorder="1"/>
    <xf numFmtId="4" fontId="85" fillId="0" borderId="18" xfId="0" applyNumberFormat="1" applyFont="1" applyFill="1" applyBorder="1"/>
    <xf numFmtId="4" fontId="0" fillId="0" borderId="54" xfId="0" applyNumberFormat="1" applyFill="1" applyBorder="1"/>
    <xf numFmtId="4" fontId="0" fillId="0" borderId="55" xfId="0" applyNumberFormat="1" applyFill="1" applyBorder="1"/>
    <xf numFmtId="4" fontId="0" fillId="0" borderId="56" xfId="0" applyNumberFormat="1" applyFill="1" applyBorder="1"/>
    <xf numFmtId="4" fontId="0" fillId="0" borderId="20" xfId="0" applyNumberFormat="1" applyFill="1" applyBorder="1"/>
    <xf numFmtId="4" fontId="86" fillId="0" borderId="20" xfId="0" applyNumberFormat="1" applyFont="1" applyFill="1" applyBorder="1"/>
    <xf numFmtId="4" fontId="86" fillId="0" borderId="21" xfId="0" applyNumberFormat="1" applyFont="1" applyFill="1" applyBorder="1"/>
    <xf numFmtId="4" fontId="0" fillId="0" borderId="22" xfId="0" applyNumberFormat="1" applyFill="1" applyBorder="1"/>
    <xf numFmtId="4" fontId="0" fillId="0" borderId="23" xfId="0" applyNumberFormat="1" applyFill="1" applyBorder="1"/>
    <xf numFmtId="4" fontId="85" fillId="0" borderId="20" xfId="0" applyNumberFormat="1" applyFont="1" applyFill="1" applyBorder="1"/>
    <xf numFmtId="4" fontId="0" fillId="0" borderId="21" xfId="0" applyNumberFormat="1" applyFill="1" applyBorder="1"/>
    <xf numFmtId="4" fontId="85" fillId="0" borderId="19" xfId="0" applyNumberFormat="1" applyFont="1" applyFill="1" applyBorder="1"/>
    <xf numFmtId="43" fontId="90" fillId="0" borderId="57" xfId="82" applyFont="1" applyFill="1" applyBorder="1"/>
    <xf numFmtId="0" fontId="22" fillId="0" borderId="13" xfId="137" applyFill="1" applyBorder="1"/>
    <xf numFmtId="0" fontId="90" fillId="0" borderId="39" xfId="137" applyFont="1" applyFill="1" applyBorder="1" applyAlignment="1"/>
    <xf numFmtId="0" fontId="9" fillId="0" borderId="40" xfId="137" applyFont="1" applyFill="1" applyBorder="1" applyAlignment="1"/>
    <xf numFmtId="0" fontId="9" fillId="0" borderId="41" xfId="137" applyFont="1" applyFill="1" applyBorder="1" applyAlignment="1"/>
    <xf numFmtId="0" fontId="90" fillId="0" borderId="45" xfId="137" applyFont="1" applyFill="1" applyBorder="1" applyAlignment="1">
      <alignment horizontal="center"/>
    </xf>
    <xf numFmtId="0" fontId="93" fillId="0" borderId="46" xfId="137" applyFont="1" applyFill="1" applyBorder="1" applyAlignment="1">
      <alignment horizontal="center"/>
    </xf>
    <xf numFmtId="43" fontId="93" fillId="0" borderId="46" xfId="82" applyFont="1" applyFill="1" applyBorder="1"/>
    <xf numFmtId="0" fontId="90" fillId="0" borderId="58" xfId="137" applyFont="1" applyFill="1" applyBorder="1" applyAlignment="1">
      <alignment horizontal="center"/>
    </xf>
    <xf numFmtId="0" fontId="93" fillId="0" borderId="57" xfId="137" applyFont="1" applyFill="1" applyBorder="1" applyAlignment="1">
      <alignment horizontal="center"/>
    </xf>
    <xf numFmtId="43" fontId="93" fillId="0" borderId="57" xfId="82" applyFont="1" applyFill="1" applyBorder="1"/>
    <xf numFmtId="0" fontId="90" fillId="0" borderId="59" xfId="137" applyFont="1" applyFill="1" applyBorder="1" applyAlignment="1">
      <alignment horizontal="center"/>
    </xf>
    <xf numFmtId="0" fontId="93" fillId="0" borderId="60" xfId="137" applyFont="1" applyFill="1" applyBorder="1" applyAlignment="1">
      <alignment horizontal="center"/>
    </xf>
    <xf numFmtId="43" fontId="93" fillId="0" borderId="60" xfId="82" applyFont="1" applyFill="1" applyBorder="1"/>
    <xf numFmtId="0" fontId="22" fillId="0" borderId="0" xfId="137" applyFill="1" applyBorder="1"/>
    <xf numFmtId="0" fontId="90" fillId="0" borderId="61" xfId="137" applyFont="1" applyFill="1" applyBorder="1"/>
    <xf numFmtId="0" fontId="90" fillId="0" borderId="62" xfId="137" applyFont="1" applyFill="1" applyBorder="1"/>
    <xf numFmtId="0" fontId="90" fillId="0" borderId="63" xfId="137" applyFont="1" applyFill="1" applyBorder="1"/>
    <xf numFmtId="0" fontId="90" fillId="0" borderId="57" xfId="137" applyFont="1" applyFill="1" applyBorder="1" applyAlignment="1">
      <alignment horizontal="center"/>
    </xf>
    <xf numFmtId="43" fontId="94" fillId="0" borderId="64" xfId="82" applyFont="1" applyFill="1" applyBorder="1"/>
    <xf numFmtId="0" fontId="95" fillId="0" borderId="65" xfId="137" applyFont="1" applyFill="1" applyBorder="1"/>
    <xf numFmtId="0" fontId="65" fillId="0" borderId="66" xfId="137" applyFont="1" applyFill="1" applyBorder="1"/>
    <xf numFmtId="0" fontId="106" fillId="0" borderId="60" xfId="137" applyFont="1" applyFill="1" applyBorder="1" applyAlignment="1">
      <alignment horizontal="center"/>
    </xf>
    <xf numFmtId="43" fontId="106" fillId="0" borderId="60" xfId="82" applyFont="1" applyFill="1" applyBorder="1"/>
    <xf numFmtId="43" fontId="95" fillId="0" borderId="60" xfId="82" applyFont="1" applyFill="1" applyBorder="1"/>
    <xf numFmtId="165" fontId="90" fillId="0" borderId="58" xfId="137" applyNumberFormat="1" applyFont="1" applyFill="1" applyBorder="1" applyAlignment="1">
      <alignment horizontal="center"/>
    </xf>
    <xf numFmtId="43" fontId="90" fillId="0" borderId="64" xfId="82" applyFont="1" applyFill="1" applyBorder="1"/>
    <xf numFmtId="165" fontId="106" fillId="0" borderId="59" xfId="137" applyNumberFormat="1" applyFont="1" applyFill="1" applyBorder="1" applyAlignment="1">
      <alignment horizontal="center"/>
    </xf>
    <xf numFmtId="0" fontId="90" fillId="0" borderId="0" xfId="137" applyFont="1" applyFill="1" applyBorder="1"/>
    <xf numFmtId="0" fontId="90" fillId="0" borderId="19" xfId="137" applyFont="1" applyFill="1" applyBorder="1"/>
    <xf numFmtId="165" fontId="90" fillId="0" borderId="59" xfId="137" applyNumberFormat="1" applyFont="1" applyFill="1" applyBorder="1" applyAlignment="1">
      <alignment horizontal="center"/>
    </xf>
    <xf numFmtId="0" fontId="93" fillId="0" borderId="65" xfId="137" applyFont="1" applyFill="1" applyBorder="1"/>
    <xf numFmtId="0" fontId="22" fillId="0" borderId="66" xfId="137" applyFill="1" applyBorder="1"/>
    <xf numFmtId="0" fontId="22" fillId="0" borderId="67" xfId="137" applyFill="1" applyBorder="1"/>
    <xf numFmtId="0" fontId="90" fillId="0" borderId="60" xfId="137" applyFont="1" applyFill="1" applyBorder="1" applyAlignment="1">
      <alignment horizontal="center"/>
    </xf>
    <xf numFmtId="43" fontId="90" fillId="0" borderId="60" xfId="82" applyFont="1" applyFill="1" applyBorder="1"/>
    <xf numFmtId="4" fontId="101" fillId="0" borderId="14" xfId="0" applyNumberFormat="1" applyFont="1" applyFill="1" applyBorder="1" applyAlignment="1">
      <alignment vertical="center"/>
    </xf>
    <xf numFmtId="4" fontId="85" fillId="0" borderId="0" xfId="0" applyNumberFormat="1" applyFont="1" applyFill="1" applyBorder="1"/>
    <xf numFmtId="4" fontId="0" fillId="0" borderId="18" xfId="0" applyNumberFormat="1" applyBorder="1"/>
    <xf numFmtId="4" fontId="66" fillId="24" borderId="68" xfId="139" applyNumberFormat="1" applyFont="1" applyFill="1" applyBorder="1" applyAlignment="1">
      <alignment vertical="top"/>
    </xf>
    <xf numFmtId="0" fontId="93" fillId="0" borderId="61" xfId="137" applyFont="1" applyFill="1" applyBorder="1"/>
    <xf numFmtId="43" fontId="93" fillId="0" borderId="64" xfId="82" applyFont="1" applyFill="1" applyBorder="1"/>
    <xf numFmtId="0" fontId="22" fillId="0" borderId="66" xfId="137" applyFill="1" applyBorder="1" applyAlignment="1"/>
    <xf numFmtId="43" fontId="91" fillId="0" borderId="64" xfId="82" applyFont="1" applyFill="1" applyBorder="1"/>
    <xf numFmtId="0" fontId="0" fillId="0" borderId="0" xfId="0" applyFill="1"/>
    <xf numFmtId="0" fontId="85" fillId="0" borderId="0" xfId="0" applyFont="1" applyFill="1"/>
    <xf numFmtId="0" fontId="108" fillId="0" borderId="0" xfId="137" applyFont="1" applyFill="1"/>
    <xf numFmtId="0" fontId="109" fillId="0" borderId="0" xfId="137" applyFont="1" applyFill="1"/>
    <xf numFmtId="0" fontId="108" fillId="0" borderId="69" xfId="137" applyFont="1" applyFill="1" applyBorder="1" applyAlignment="1">
      <alignment horizontal="center"/>
    </xf>
    <xf numFmtId="0" fontId="108" fillId="0" borderId="70" xfId="137" applyFont="1" applyFill="1" applyBorder="1" applyAlignment="1"/>
    <xf numFmtId="0" fontId="108" fillId="0" borderId="71" xfId="137" applyFont="1" applyFill="1" applyBorder="1" applyAlignment="1"/>
    <xf numFmtId="0" fontId="108" fillId="0" borderId="72" xfId="137" applyFont="1" applyFill="1" applyBorder="1" applyAlignment="1"/>
    <xf numFmtId="0" fontId="85" fillId="0" borderId="73" xfId="0" applyFont="1" applyFill="1" applyBorder="1"/>
    <xf numFmtId="0" fontId="108" fillId="0" borderId="74" xfId="137" applyFont="1" applyFill="1" applyBorder="1"/>
    <xf numFmtId="0" fontId="108" fillId="0" borderId="75" xfId="137" applyFont="1" applyFill="1" applyBorder="1"/>
    <xf numFmtId="0" fontId="85" fillId="0" borderId="75" xfId="0" applyFont="1" applyFill="1" applyBorder="1"/>
    <xf numFmtId="0" fontId="85" fillId="0" borderId="76" xfId="0" applyFont="1" applyFill="1" applyBorder="1"/>
    <xf numFmtId="0" fontId="85" fillId="0" borderId="74" xfId="0" applyFont="1" applyFill="1" applyBorder="1" applyAlignment="1">
      <alignment horizontal="right"/>
    </xf>
    <xf numFmtId="0" fontId="85" fillId="0" borderId="75" xfId="0" applyFont="1" applyFill="1" applyBorder="1" applyAlignment="1">
      <alignment horizontal="right"/>
    </xf>
    <xf numFmtId="0" fontId="110" fillId="0" borderId="77" xfId="137" applyFont="1" applyFill="1" applyBorder="1" applyAlignment="1">
      <alignment horizontal="center"/>
    </xf>
    <xf numFmtId="0" fontId="110" fillId="0" borderId="39" xfId="137" applyFont="1" applyFill="1" applyBorder="1"/>
    <xf numFmtId="0" fontId="110" fillId="0" borderId="40" xfId="137" applyFont="1" applyFill="1" applyBorder="1"/>
    <xf numFmtId="0" fontId="108" fillId="0" borderId="77" xfId="137" applyFont="1" applyFill="1" applyBorder="1" applyAlignment="1">
      <alignment horizontal="center"/>
    </xf>
    <xf numFmtId="0" fontId="108" fillId="0" borderId="39" xfId="137" applyFont="1" applyFill="1" applyBorder="1"/>
    <xf numFmtId="0" fontId="108" fillId="0" borderId="40" xfId="137" applyFont="1" applyFill="1" applyBorder="1"/>
    <xf numFmtId="0" fontId="108" fillId="0" borderId="41" xfId="137" applyFont="1" applyFill="1" applyBorder="1"/>
    <xf numFmtId="0" fontId="108" fillId="0" borderId="39" xfId="0" applyFont="1" applyFill="1" applyBorder="1"/>
    <xf numFmtId="0" fontId="108" fillId="0" borderId="40" xfId="0" applyFont="1" applyFill="1" applyBorder="1"/>
    <xf numFmtId="43" fontId="0" fillId="0" borderId="0" xfId="0" applyNumberFormat="1" applyFill="1"/>
    <xf numFmtId="0" fontId="108" fillId="0" borderId="78" xfId="137" applyFont="1" applyFill="1" applyBorder="1" applyAlignment="1">
      <alignment horizontal="center"/>
    </xf>
    <xf numFmtId="0" fontId="108" fillId="0" borderId="42" xfId="137" applyFont="1" applyFill="1" applyBorder="1"/>
    <xf numFmtId="0" fontId="108" fillId="0" borderId="43" xfId="137" applyFont="1" applyFill="1" applyBorder="1"/>
    <xf numFmtId="0" fontId="108" fillId="0" borderId="44" xfId="137" applyFont="1" applyFill="1" applyBorder="1"/>
    <xf numFmtId="0" fontId="108" fillId="0" borderId="79" xfId="137" applyFont="1" applyFill="1" applyBorder="1" applyAlignment="1">
      <alignment horizontal="center"/>
    </xf>
    <xf numFmtId="0" fontId="108" fillId="0" borderId="80" xfId="137" applyFont="1" applyFill="1" applyBorder="1"/>
    <xf numFmtId="0" fontId="108" fillId="0" borderId="81" xfId="137" applyFont="1" applyFill="1" applyBorder="1"/>
    <xf numFmtId="4" fontId="66" fillId="0" borderId="39" xfId="139" applyNumberFormat="1" applyFont="1" applyFill="1" applyBorder="1" applyAlignment="1">
      <alignment vertical="top"/>
    </xf>
    <xf numFmtId="4" fontId="66" fillId="0" borderId="40" xfId="139" applyNumberFormat="1" applyFont="1" applyFill="1" applyBorder="1" applyAlignment="1">
      <alignment horizontal="center"/>
    </xf>
    <xf numFmtId="0" fontId="67" fillId="0" borderId="39" xfId="149" applyFont="1" applyFill="1" applyBorder="1" applyAlignment="1">
      <alignment horizontal="justify" vertical="top"/>
    </xf>
    <xf numFmtId="0" fontId="67" fillId="0" borderId="40" xfId="149" applyFont="1" applyFill="1" applyBorder="1" applyAlignment="1">
      <alignment horizontal="center"/>
    </xf>
    <xf numFmtId="4" fontId="67" fillId="0" borderId="39" xfId="139" applyNumberFormat="1" applyFont="1" applyFill="1" applyBorder="1" applyAlignment="1">
      <alignment horizontal="justify" vertical="top"/>
    </xf>
    <xf numFmtId="4" fontId="67" fillId="0" borderId="40" xfId="139" applyNumberFormat="1" applyFont="1" applyFill="1" applyBorder="1" applyAlignment="1">
      <alignment horizontal="center"/>
    </xf>
    <xf numFmtId="43" fontId="22" fillId="0" borderId="0" xfId="137" applyNumberFormat="1" applyFill="1"/>
    <xf numFmtId="0" fontId="112" fillId="0" borderId="0" xfId="137" applyFont="1" applyFill="1" applyBorder="1"/>
    <xf numFmtId="0" fontId="112" fillId="0" borderId="0" xfId="137" applyFont="1" applyFill="1"/>
    <xf numFmtId="0" fontId="91" fillId="0" borderId="13" xfId="137" applyFont="1" applyFill="1" applyBorder="1" applyAlignment="1">
      <alignment horizontal="center"/>
    </xf>
    <xf numFmtId="0" fontId="22" fillId="0" borderId="13" xfId="137" applyFill="1" applyBorder="1" applyAlignment="1">
      <alignment horizontal="center"/>
    </xf>
    <xf numFmtId="2" fontId="24" fillId="0" borderId="13" xfId="137" applyNumberFormat="1" applyFont="1" applyFill="1" applyBorder="1"/>
    <xf numFmtId="43" fontId="23" fillId="0" borderId="0" xfId="82" applyFont="1" applyFill="1" applyBorder="1"/>
    <xf numFmtId="43" fontId="24" fillId="0" borderId="0" xfId="82" applyFont="1" applyFill="1" applyBorder="1"/>
    <xf numFmtId="43" fontId="22" fillId="0" borderId="0" xfId="137" applyNumberFormat="1" applyFill="1" applyBorder="1"/>
    <xf numFmtId="0" fontId="91" fillId="0" borderId="0" xfId="137" applyFont="1" applyFill="1" applyBorder="1"/>
    <xf numFmtId="0" fontId="22" fillId="0" borderId="0" xfId="137" applyFill="1" applyBorder="1" applyAlignment="1">
      <alignment horizontal="center"/>
    </xf>
    <xf numFmtId="4" fontId="37" fillId="0" borderId="82" xfId="123" applyNumberFormat="1" applyFont="1" applyFill="1" applyBorder="1" applyAlignment="1">
      <alignment horizontal="right" vertical="center"/>
    </xf>
    <xf numFmtId="43" fontId="111" fillId="0" borderId="39" xfId="0" applyNumberFormat="1" applyFont="1" applyFill="1" applyBorder="1" applyAlignment="1">
      <alignment horizontal="center"/>
    </xf>
    <xf numFmtId="43" fontId="111" fillId="0" borderId="40" xfId="0" applyNumberFormat="1" applyFont="1" applyFill="1" applyBorder="1" applyAlignment="1">
      <alignment horizontal="center"/>
    </xf>
    <xf numFmtId="0" fontId="113" fillId="0" borderId="77" xfId="137" applyFont="1" applyFill="1" applyBorder="1" applyAlignment="1">
      <alignment horizontal="center"/>
    </xf>
    <xf numFmtId="0" fontId="113" fillId="0" borderId="39" xfId="137" applyFont="1" applyFill="1" applyBorder="1"/>
    <xf numFmtId="0" fontId="113" fillId="0" borderId="40" xfId="137" applyFont="1" applyFill="1" applyBorder="1"/>
    <xf numFmtId="0" fontId="113" fillId="0" borderId="41" xfId="137" applyFont="1" applyFill="1" applyBorder="1"/>
    <xf numFmtId="0" fontId="113" fillId="0" borderId="39" xfId="0" applyFont="1" applyFill="1" applyBorder="1" applyAlignment="1">
      <alignment horizontal="right"/>
    </xf>
    <xf numFmtId="43" fontId="113" fillId="0" borderId="40" xfId="82" applyFont="1" applyFill="1" applyBorder="1"/>
    <xf numFmtId="0" fontId="111" fillId="0" borderId="40" xfId="137" applyFont="1" applyFill="1" applyBorder="1"/>
    <xf numFmtId="0" fontId="111" fillId="0" borderId="41" xfId="137" applyFont="1" applyFill="1" applyBorder="1"/>
    <xf numFmtId="0" fontId="111" fillId="0" borderId="77" xfId="137" applyFont="1" applyFill="1" applyBorder="1" applyAlignment="1">
      <alignment horizontal="center"/>
    </xf>
    <xf numFmtId="0" fontId="111" fillId="0" borderId="39" xfId="137" applyFont="1" applyFill="1" applyBorder="1" applyAlignment="1">
      <alignment horizontal="center"/>
    </xf>
    <xf numFmtId="0" fontId="111" fillId="0" borderId="40" xfId="137" applyFont="1" applyFill="1" applyBorder="1" applyAlignment="1">
      <alignment horizontal="center"/>
    </xf>
    <xf numFmtId="0" fontId="111" fillId="0" borderId="41" xfId="137" applyFont="1" applyFill="1" applyBorder="1" applyAlignment="1">
      <alignment horizontal="center"/>
    </xf>
    <xf numFmtId="0" fontId="111" fillId="0" borderId="39" xfId="0" applyFont="1" applyFill="1" applyBorder="1"/>
    <xf numFmtId="0" fontId="111" fillId="0" borderId="40" xfId="0" applyFont="1" applyFill="1" applyBorder="1"/>
    <xf numFmtId="0" fontId="115" fillId="0" borderId="40" xfId="137" applyFont="1" applyFill="1" applyBorder="1"/>
    <xf numFmtId="0" fontId="115" fillId="0" borderId="41" xfId="137" applyFont="1" applyFill="1" applyBorder="1"/>
    <xf numFmtId="0" fontId="111" fillId="0" borderId="39" xfId="137" applyFont="1" applyFill="1" applyBorder="1"/>
    <xf numFmtId="43" fontId="113" fillId="0" borderId="39" xfId="0" applyNumberFormat="1" applyFont="1" applyFill="1" applyBorder="1" applyAlignment="1">
      <alignment horizontal="center"/>
    </xf>
    <xf numFmtId="43" fontId="113" fillId="0" borderId="40" xfId="0" applyNumberFormat="1" applyFont="1" applyFill="1" applyBorder="1" applyAlignment="1">
      <alignment horizontal="center"/>
    </xf>
    <xf numFmtId="0" fontId="116" fillId="0" borderId="41" xfId="137" applyFont="1" applyFill="1" applyBorder="1"/>
    <xf numFmtId="0" fontId="115" fillId="0" borderId="81" xfId="137" applyFont="1" applyFill="1" applyBorder="1" applyAlignment="1">
      <alignment horizontal="center"/>
    </xf>
    <xf numFmtId="0" fontId="115" fillId="0" borderId="83" xfId="137" applyFont="1" applyFill="1" applyBorder="1" applyAlignment="1">
      <alignment horizontal="center"/>
    </xf>
    <xf numFmtId="0" fontId="9" fillId="0" borderId="0" xfId="123" applyFill="1"/>
    <xf numFmtId="0" fontId="25" fillId="0" borderId="0" xfId="123" applyFont="1" applyFill="1"/>
    <xf numFmtId="0" fontId="3" fillId="0" borderId="0" xfId="123" applyFont="1" applyFill="1"/>
    <xf numFmtId="0" fontId="47" fillId="25" borderId="0" xfId="123" applyFont="1" applyFill="1" applyAlignment="1"/>
    <xf numFmtId="0" fontId="93" fillId="0" borderId="65" xfId="137" applyFont="1" applyFill="1" applyBorder="1" applyAlignment="1"/>
    <xf numFmtId="0" fontId="117" fillId="0" borderId="0" xfId="137" applyFont="1" applyFill="1"/>
    <xf numFmtId="4" fontId="67" fillId="0" borderId="41" xfId="139" applyNumberFormat="1" applyFont="1" applyFill="1" applyBorder="1" applyAlignment="1">
      <alignment horizontal="left" vertical="top" wrapText="1"/>
    </xf>
    <xf numFmtId="0" fontId="90" fillId="0" borderId="68" xfId="137" applyFont="1" applyFill="1" applyBorder="1" applyAlignment="1">
      <alignment horizontal="center"/>
    </xf>
    <xf numFmtId="0" fontId="90" fillId="0" borderId="84" xfId="137" applyFont="1" applyFill="1" applyBorder="1" applyAlignment="1">
      <alignment horizontal="center"/>
    </xf>
    <xf numFmtId="0" fontId="90" fillId="0" borderId="84" xfId="137" applyFont="1" applyFill="1" applyBorder="1" applyAlignment="1">
      <alignment horizontal="center" wrapText="1"/>
    </xf>
    <xf numFmtId="0" fontId="90" fillId="0" borderId="85" xfId="137" applyFont="1" applyFill="1" applyBorder="1" applyAlignment="1">
      <alignment horizontal="center"/>
    </xf>
    <xf numFmtId="0" fontId="90" fillId="0" borderId="86" xfId="137" applyFont="1" applyFill="1" applyBorder="1" applyAlignment="1">
      <alignment horizontal="center"/>
    </xf>
    <xf numFmtId="0" fontId="90" fillId="0" borderId="28" xfId="137" applyFont="1" applyFill="1" applyBorder="1" applyAlignment="1">
      <alignment horizontal="center"/>
    </xf>
    <xf numFmtId="0" fontId="90" fillId="0" borderId="39" xfId="137" applyFont="1" applyFill="1" applyBorder="1" applyAlignment="1">
      <alignment horizontal="center"/>
    </xf>
    <xf numFmtId="0" fontId="90" fillId="0" borderId="40" xfId="137" applyFont="1" applyFill="1" applyBorder="1" applyAlignment="1">
      <alignment horizontal="center"/>
    </xf>
    <xf numFmtId="0" fontId="90" fillId="0" borderId="41" xfId="137" applyFont="1" applyFill="1" applyBorder="1" applyAlignment="1">
      <alignment horizontal="center"/>
    </xf>
    <xf numFmtId="0" fontId="93" fillId="0" borderId="39" xfId="137" applyFont="1" applyFill="1" applyBorder="1" applyAlignment="1">
      <alignment horizontal="left"/>
    </xf>
    <xf numFmtId="0" fontId="93" fillId="0" borderId="40" xfId="137" applyFont="1" applyFill="1" applyBorder="1" applyAlignment="1">
      <alignment horizontal="left"/>
    </xf>
    <xf numFmtId="0" fontId="93" fillId="0" borderId="41" xfId="137" applyFont="1" applyFill="1" applyBorder="1" applyAlignment="1">
      <alignment horizontal="left"/>
    </xf>
    <xf numFmtId="0" fontId="118" fillId="0" borderId="0" xfId="137" applyFont="1" applyFill="1" applyAlignment="1">
      <alignment horizontal="center"/>
    </xf>
    <xf numFmtId="0" fontId="90" fillId="0" borderId="40" xfId="137" applyFont="1" applyFill="1" applyBorder="1" applyAlignment="1">
      <alignment horizontal="center"/>
    </xf>
    <xf numFmtId="0" fontId="90" fillId="0" borderId="41" xfId="137" applyFont="1" applyFill="1" applyBorder="1" applyAlignment="1">
      <alignment horizontal="center"/>
    </xf>
    <xf numFmtId="0" fontId="90" fillId="0" borderId="29" xfId="137" applyFont="1" applyFill="1" applyBorder="1" applyAlignment="1">
      <alignment horizontal="center"/>
    </xf>
    <xf numFmtId="0" fontId="90" fillId="0" borderId="87" xfId="137" applyFont="1" applyFill="1" applyBorder="1" applyAlignment="1">
      <alignment horizontal="center"/>
    </xf>
    <xf numFmtId="0" fontId="90" fillId="0" borderId="68" xfId="137" applyFont="1" applyFill="1" applyBorder="1" applyAlignment="1">
      <alignment horizontal="center"/>
    </xf>
    <xf numFmtId="0" fontId="90" fillId="0" borderId="11" xfId="137" applyFont="1" applyFill="1" applyBorder="1" applyAlignment="1">
      <alignment horizontal="center"/>
    </xf>
    <xf numFmtId="0" fontId="119" fillId="0" borderId="39" xfId="137" applyFont="1" applyFill="1" applyBorder="1" applyAlignment="1">
      <alignment horizontal="center"/>
    </xf>
    <xf numFmtId="0" fontId="119" fillId="0" borderId="40" xfId="137" applyFont="1" applyFill="1" applyBorder="1" applyAlignment="1">
      <alignment horizontal="center"/>
    </xf>
    <xf numFmtId="0" fontId="119" fillId="0" borderId="41" xfId="137" applyFont="1" applyFill="1" applyBorder="1" applyAlignment="1">
      <alignment horizontal="center"/>
    </xf>
    <xf numFmtId="0" fontId="90" fillId="0" borderId="68" xfId="137" applyFont="1" applyFill="1" applyBorder="1" applyAlignment="1">
      <alignment horizontal="center" wrapText="1"/>
    </xf>
    <xf numFmtId="0" fontId="90" fillId="0" borderId="11" xfId="137" applyFont="1" applyFill="1" applyBorder="1" applyAlignment="1">
      <alignment horizontal="center" wrapText="1"/>
    </xf>
    <xf numFmtId="0" fontId="93" fillId="0" borderId="65" xfId="137" applyFont="1" applyFill="1" applyBorder="1" applyAlignment="1"/>
    <xf numFmtId="0" fontId="93" fillId="0" borderId="66" xfId="137" applyFont="1" applyFill="1" applyBorder="1" applyAlignment="1"/>
    <xf numFmtId="0" fontId="93" fillId="0" borderId="67" xfId="137" applyFont="1" applyFill="1" applyBorder="1" applyAlignment="1"/>
    <xf numFmtId="43" fontId="90" fillId="0" borderId="68" xfId="82" applyFont="1" applyFill="1" applyBorder="1"/>
    <xf numFmtId="0" fontId="90" fillId="0" borderId="37" xfId="137" applyFont="1" applyFill="1" applyBorder="1" applyAlignment="1">
      <alignment horizontal="center"/>
    </xf>
    <xf numFmtId="0" fontId="90" fillId="0" borderId="39" xfId="137" applyFont="1" applyFill="1" applyBorder="1" applyAlignment="1">
      <alignment horizontal="left"/>
    </xf>
    <xf numFmtId="0" fontId="90" fillId="27" borderId="68" xfId="137" applyFont="1" applyFill="1" applyBorder="1" applyAlignment="1">
      <alignment horizontal="center"/>
    </xf>
    <xf numFmtId="0" fontId="90" fillId="27" borderId="11" xfId="137" applyFont="1" applyFill="1" applyBorder="1" applyAlignment="1">
      <alignment horizontal="center"/>
    </xf>
    <xf numFmtId="43" fontId="90" fillId="27" borderId="57" xfId="82" applyFont="1" applyFill="1" applyBorder="1"/>
    <xf numFmtId="43" fontId="90" fillId="27" borderId="37" xfId="82" applyFont="1" applyFill="1" applyBorder="1"/>
    <xf numFmtId="0" fontId="90" fillId="27" borderId="37" xfId="137" applyFont="1" applyFill="1" applyBorder="1"/>
    <xf numFmtId="43" fontId="90" fillId="27" borderId="46" xfId="82" applyFont="1" applyFill="1" applyBorder="1"/>
    <xf numFmtId="43" fontId="93" fillId="27" borderId="60" xfId="82" applyFont="1" applyFill="1" applyBorder="1"/>
    <xf numFmtId="43" fontId="93" fillId="27" borderId="37" xfId="82" applyFont="1" applyFill="1" applyBorder="1"/>
    <xf numFmtId="43" fontId="93" fillId="27" borderId="46" xfId="82" applyFont="1" applyFill="1" applyBorder="1"/>
    <xf numFmtId="43" fontId="106" fillId="27" borderId="60" xfId="82" applyFont="1" applyFill="1" applyBorder="1"/>
    <xf numFmtId="43" fontId="105" fillId="27" borderId="37" xfId="82" applyFont="1" applyFill="1" applyBorder="1"/>
    <xf numFmtId="0" fontId="22" fillId="27" borderId="13" xfId="137" applyFill="1" applyBorder="1"/>
    <xf numFmtId="0" fontId="22" fillId="27" borderId="0" xfId="137" applyFill="1"/>
    <xf numFmtId="0" fontId="90" fillId="28" borderId="68" xfId="137" applyFont="1" applyFill="1" applyBorder="1" applyAlignment="1">
      <alignment horizontal="center"/>
    </xf>
    <xf numFmtId="0" fontId="90" fillId="28" borderId="11" xfId="137" applyFont="1" applyFill="1" applyBorder="1" applyAlignment="1">
      <alignment horizontal="center"/>
    </xf>
    <xf numFmtId="43" fontId="90" fillId="28" borderId="57" xfId="82" applyFont="1" applyFill="1" applyBorder="1"/>
    <xf numFmtId="43" fontId="90" fillId="28" borderId="37" xfId="82" applyFont="1" applyFill="1" applyBorder="1"/>
    <xf numFmtId="0" fontId="90" fillId="28" borderId="37" xfId="137" applyFont="1" applyFill="1" applyBorder="1"/>
    <xf numFmtId="43" fontId="90" fillId="28" borderId="46" xfId="82" applyFont="1" applyFill="1" applyBorder="1"/>
    <xf numFmtId="43" fontId="90" fillId="28" borderId="60" xfId="82" applyFont="1" applyFill="1" applyBorder="1"/>
    <xf numFmtId="43" fontId="93" fillId="28" borderId="60" xfId="82" applyFont="1" applyFill="1" applyBorder="1"/>
    <xf numFmtId="43" fontId="93" fillId="28" borderId="37" xfId="82" applyFont="1" applyFill="1" applyBorder="1"/>
    <xf numFmtId="0" fontId="90" fillId="28" borderId="37" xfId="137" applyFont="1" applyFill="1" applyBorder="1" applyAlignment="1">
      <alignment horizontal="center"/>
    </xf>
    <xf numFmtId="0" fontId="93" fillId="28" borderId="37" xfId="137" applyFont="1" applyFill="1" applyBorder="1" applyAlignment="1">
      <alignment horizontal="center"/>
    </xf>
    <xf numFmtId="43" fontId="93" fillId="28" borderId="46" xfId="82" applyFont="1" applyFill="1" applyBorder="1"/>
    <xf numFmtId="43" fontId="106" fillId="28" borderId="60" xfId="82" applyFont="1" applyFill="1" applyBorder="1"/>
    <xf numFmtId="43" fontId="105" fillId="28" borderId="37" xfId="82" applyFont="1" applyFill="1" applyBorder="1"/>
    <xf numFmtId="0" fontId="22" fillId="28" borderId="13" xfId="137" applyFill="1" applyBorder="1"/>
    <xf numFmtId="0" fontId="22" fillId="28" borderId="0" xfId="137" applyFill="1"/>
    <xf numFmtId="43" fontId="115" fillId="0" borderId="39" xfId="0" applyNumberFormat="1" applyFont="1" applyFill="1" applyBorder="1" applyAlignment="1">
      <alignment horizontal="center"/>
    </xf>
    <xf numFmtId="43" fontId="115" fillId="0" borderId="40" xfId="0" applyNumberFormat="1" applyFont="1" applyFill="1" applyBorder="1" applyAlignment="1">
      <alignment horizontal="center"/>
    </xf>
    <xf numFmtId="0" fontId="90" fillId="27" borderId="37" xfId="137" applyFont="1" applyFill="1" applyBorder="1" applyAlignment="1">
      <alignment horizontal="center"/>
    </xf>
    <xf numFmtId="0" fontId="22" fillId="27" borderId="0" xfId="137" applyFill="1" applyBorder="1"/>
    <xf numFmtId="0" fontId="90" fillId="27" borderId="40" xfId="0" applyFont="1" applyFill="1" applyBorder="1"/>
    <xf numFmtId="0" fontId="90" fillId="27" borderId="41" xfId="0" applyFont="1" applyFill="1" applyBorder="1"/>
    <xf numFmtId="0" fontId="90" fillId="27" borderId="39" xfId="137" applyFont="1" applyFill="1" applyBorder="1"/>
    <xf numFmtId="0" fontId="90" fillId="27" borderId="40" xfId="137" applyFont="1" applyFill="1" applyBorder="1"/>
    <xf numFmtId="0" fontId="90" fillId="27" borderId="41" xfId="137" applyFont="1" applyFill="1" applyBorder="1"/>
    <xf numFmtId="0" fontId="71" fillId="0" borderId="0" xfId="137" applyFont="1" applyFill="1" applyAlignment="1">
      <alignment horizontal="center"/>
    </xf>
    <xf numFmtId="0" fontId="106" fillId="27" borderId="59" xfId="137" applyFont="1" applyFill="1" applyBorder="1" applyAlignment="1">
      <alignment horizontal="center"/>
    </xf>
    <xf numFmtId="0" fontId="95" fillId="27" borderId="65" xfId="137" applyFont="1" applyFill="1" applyBorder="1" applyAlignment="1">
      <alignment horizontal="center"/>
    </xf>
    <xf numFmtId="0" fontId="106" fillId="27" borderId="60" xfId="137" applyFont="1" applyFill="1" applyBorder="1" applyAlignment="1">
      <alignment horizontal="center"/>
    </xf>
    <xf numFmtId="43" fontId="95" fillId="27" borderId="60" xfId="82" applyFont="1" applyFill="1" applyBorder="1"/>
    <xf numFmtId="0" fontId="93" fillId="27" borderId="36" xfId="137" applyFont="1" applyFill="1" applyBorder="1" applyAlignment="1">
      <alignment horizontal="center"/>
    </xf>
    <xf numFmtId="0" fontId="93" fillId="27" borderId="39" xfId="137" applyFont="1" applyFill="1" applyBorder="1"/>
    <xf numFmtId="0" fontId="93" fillId="27" borderId="40" xfId="137" applyFont="1" applyFill="1" applyBorder="1"/>
    <xf numFmtId="0" fontId="93" fillId="27" borderId="41" xfId="137" applyFont="1" applyFill="1" applyBorder="1"/>
    <xf numFmtId="0" fontId="93" fillId="27" borderId="37" xfId="137" applyFont="1" applyFill="1" applyBorder="1" applyAlignment="1">
      <alignment horizontal="center"/>
    </xf>
    <xf numFmtId="43" fontId="95" fillId="27" borderId="37" xfId="82" applyFont="1" applyFill="1" applyBorder="1"/>
    <xf numFmtId="165" fontId="90" fillId="0" borderId="36" xfId="137" applyNumberFormat="1" applyFont="1" applyFill="1" applyBorder="1" applyAlignment="1">
      <alignment horizontal="left"/>
    </xf>
    <xf numFmtId="165" fontId="90" fillId="0" borderId="45" xfId="137" applyNumberFormat="1" applyFont="1" applyFill="1" applyBorder="1" applyAlignment="1">
      <alignment horizontal="left"/>
    </xf>
    <xf numFmtId="0" fontId="120" fillId="0" borderId="36" xfId="137" applyFont="1" applyFill="1" applyBorder="1" applyAlignment="1">
      <alignment horizontal="center"/>
    </xf>
    <xf numFmtId="0" fontId="120" fillId="0" borderId="39" xfId="137" applyFont="1" applyFill="1" applyBorder="1"/>
    <xf numFmtId="0" fontId="120" fillId="0" borderId="40" xfId="137" applyFont="1" applyFill="1" applyBorder="1"/>
    <xf numFmtId="0" fontId="0" fillId="27" borderId="0" xfId="0" applyFill="1"/>
    <xf numFmtId="3" fontId="102" fillId="0" borderId="17" xfId="0" applyNumberFormat="1" applyFont="1" applyFill="1" applyBorder="1" applyAlignment="1">
      <alignment horizontal="center" vertical="center"/>
    </xf>
    <xf numFmtId="43" fontId="91" fillId="27" borderId="38" xfId="82" applyFont="1" applyFill="1" applyBorder="1"/>
    <xf numFmtId="43" fontId="91" fillId="0" borderId="0" xfId="82" applyFont="1" applyFill="1"/>
    <xf numFmtId="4" fontId="121" fillId="0" borderId="11" xfId="0" applyNumberFormat="1" applyFont="1" applyFill="1" applyBorder="1" applyAlignment="1">
      <alignment vertical="center"/>
    </xf>
    <xf numFmtId="43" fontId="90" fillId="28" borderId="37" xfId="82" applyFont="1" applyFill="1" applyBorder="1" applyAlignment="1">
      <alignment horizontal="center"/>
    </xf>
    <xf numFmtId="2" fontId="67" fillId="24" borderId="68" xfId="139" applyNumberFormat="1" applyFont="1" applyFill="1" applyBorder="1" applyAlignment="1">
      <alignment horizontal="right" vertical="top"/>
    </xf>
    <xf numFmtId="4" fontId="66" fillId="24" borderId="68" xfId="139" applyNumberFormat="1" applyFont="1" applyFill="1" applyBorder="1" applyAlignment="1">
      <alignment horizontal="center"/>
    </xf>
    <xf numFmtId="4" fontId="67" fillId="24" borderId="68" xfId="139" applyNumberFormat="1" applyFont="1" applyFill="1" applyBorder="1" applyAlignment="1">
      <alignment horizontal="center" wrapText="1"/>
    </xf>
    <xf numFmtId="4" fontId="67" fillId="24" borderId="68" xfId="139" applyNumberFormat="1" applyFont="1" applyFill="1" applyBorder="1" applyAlignment="1">
      <alignment horizontal="center"/>
    </xf>
    <xf numFmtId="4" fontId="67" fillId="24" borderId="68" xfId="141" applyNumberFormat="1" applyFont="1" applyFill="1" applyBorder="1" applyAlignment="1">
      <alignment vertical="top"/>
    </xf>
    <xf numFmtId="2" fontId="77" fillId="24" borderId="68" xfId="139" applyNumberFormat="1" applyFont="1" applyFill="1" applyBorder="1" applyAlignment="1">
      <alignment horizontal="right" vertical="top"/>
    </xf>
    <xf numFmtId="4" fontId="67" fillId="24" borderId="68" xfId="139" applyNumberFormat="1" applyFont="1" applyFill="1" applyBorder="1" applyAlignment="1">
      <alignment vertical="top"/>
    </xf>
    <xf numFmtId="167" fontId="67" fillId="24" borderId="68" xfId="140" applyNumberFormat="1" applyFont="1" applyFill="1" applyBorder="1" applyAlignment="1">
      <alignment horizontal="right" vertical="top"/>
    </xf>
    <xf numFmtId="166" fontId="67" fillId="24" borderId="68" xfId="140" applyNumberFormat="1" applyFont="1" applyFill="1" applyBorder="1" applyAlignment="1">
      <alignment horizontal="center"/>
    </xf>
    <xf numFmtId="0" fontId="9" fillId="0" borderId="0" xfId="137" applyFont="1" applyFill="1"/>
    <xf numFmtId="43" fontId="78" fillId="24" borderId="68" xfId="82" applyFont="1" applyFill="1" applyBorder="1" applyAlignment="1">
      <alignment horizontal="center" wrapText="1"/>
    </xf>
    <xf numFmtId="43" fontId="78" fillId="24" borderId="68" xfId="82" applyFont="1" applyFill="1" applyBorder="1" applyAlignment="1">
      <alignment wrapText="1"/>
    </xf>
    <xf numFmtId="43" fontId="78" fillId="24" borderId="68" xfId="82" applyFont="1" applyFill="1" applyBorder="1" applyAlignment="1"/>
    <xf numFmtId="0" fontId="9" fillId="25" borderId="0" xfId="123" applyFill="1" applyAlignment="1"/>
    <xf numFmtId="43" fontId="78" fillId="27" borderId="68" xfId="82" applyFont="1" applyFill="1" applyBorder="1" applyAlignment="1">
      <alignment wrapText="1"/>
    </xf>
    <xf numFmtId="4" fontId="99" fillId="0" borderId="48" xfId="0" applyNumberFormat="1" applyFont="1" applyBorder="1"/>
    <xf numFmtId="4" fontId="43" fillId="0" borderId="0" xfId="137" applyNumberFormat="1" applyFont="1" applyFill="1" applyBorder="1" applyAlignment="1">
      <alignment horizontal="center"/>
    </xf>
    <xf numFmtId="4" fontId="102" fillId="0" borderId="65" xfId="0" applyNumberFormat="1" applyFont="1" applyFill="1" applyBorder="1"/>
    <xf numFmtId="4" fontId="102" fillId="0" borderId="15" xfId="0" applyNumberFormat="1" applyFont="1" applyFill="1" applyBorder="1" applyAlignment="1"/>
    <xf numFmtId="4" fontId="102" fillId="0" borderId="16" xfId="0" applyNumberFormat="1" applyFont="1" applyFill="1" applyBorder="1" applyAlignment="1"/>
    <xf numFmtId="0" fontId="90" fillId="0" borderId="39" xfId="137" applyFont="1" applyFill="1" applyBorder="1" applyAlignment="1">
      <alignment horizontal="center"/>
    </xf>
    <xf numFmtId="0" fontId="90" fillId="0" borderId="40" xfId="137" applyFont="1" applyFill="1" applyBorder="1" applyAlignment="1">
      <alignment horizontal="center"/>
    </xf>
    <xf numFmtId="0" fontId="90" fillId="0" borderId="41" xfId="137" applyFont="1" applyFill="1" applyBorder="1" applyAlignment="1">
      <alignment horizontal="center"/>
    </xf>
    <xf numFmtId="43" fontId="90" fillId="28" borderId="68" xfId="82" applyFont="1" applyFill="1" applyBorder="1"/>
    <xf numFmtId="43" fontId="90" fillId="27" borderId="68" xfId="82" applyFont="1" applyFill="1" applyBorder="1"/>
    <xf numFmtId="43" fontId="90" fillId="0" borderId="18" xfId="82" applyFont="1" applyFill="1" applyBorder="1"/>
    <xf numFmtId="0" fontId="90" fillId="0" borderId="67" xfId="137" applyFont="1" applyFill="1" applyBorder="1" applyAlignment="1">
      <alignment horizontal="center"/>
    </xf>
    <xf numFmtId="165" fontId="90" fillId="29" borderId="36" xfId="137" applyNumberFormat="1" applyFont="1" applyFill="1" applyBorder="1" applyAlignment="1">
      <alignment horizontal="center"/>
    </xf>
    <xf numFmtId="0" fontId="90" fillId="29" borderId="37" xfId="137" applyFont="1" applyFill="1" applyBorder="1" applyAlignment="1">
      <alignment horizontal="center"/>
    </xf>
    <xf numFmtId="43" fontId="90" fillId="29" borderId="46" xfId="82" applyFont="1" applyFill="1" applyBorder="1"/>
    <xf numFmtId="43" fontId="90" fillId="29" borderId="37" xfId="82" applyFont="1" applyFill="1" applyBorder="1"/>
    <xf numFmtId="165" fontId="90" fillId="29" borderId="45" xfId="137" applyNumberFormat="1" applyFont="1" applyFill="1" applyBorder="1" applyAlignment="1">
      <alignment horizontal="center"/>
    </xf>
    <xf numFmtId="0" fontId="90" fillId="29" borderId="46" xfId="137" applyFont="1" applyFill="1" applyBorder="1" applyAlignment="1">
      <alignment horizontal="center"/>
    </xf>
    <xf numFmtId="165" fontId="95" fillId="29" borderId="36" xfId="137" applyNumberFormat="1" applyFont="1" applyFill="1" applyBorder="1" applyAlignment="1">
      <alignment horizontal="center"/>
    </xf>
    <xf numFmtId="0" fontId="92" fillId="29" borderId="39" xfId="137" applyFont="1" applyFill="1" applyBorder="1"/>
    <xf numFmtId="0" fontId="92" fillId="29" borderId="40" xfId="137" applyFont="1" applyFill="1" applyBorder="1"/>
    <xf numFmtId="0" fontId="92" fillId="29" borderId="41" xfId="137" applyFont="1" applyFill="1" applyBorder="1"/>
    <xf numFmtId="0" fontId="90" fillId="29" borderId="39" xfId="137" applyFont="1" applyFill="1" applyBorder="1"/>
    <xf numFmtId="0" fontId="90" fillId="29" borderId="40" xfId="137" applyFont="1" applyFill="1" applyBorder="1"/>
    <xf numFmtId="0" fontId="90" fillId="29" borderId="41" xfId="137" applyFont="1" applyFill="1" applyBorder="1"/>
    <xf numFmtId="0" fontId="93" fillId="29" borderId="39" xfId="137" applyFont="1" applyFill="1" applyBorder="1"/>
    <xf numFmtId="0" fontId="93" fillId="29" borderId="40" xfId="137" applyFont="1" applyFill="1" applyBorder="1"/>
    <xf numFmtId="0" fontId="93" fillId="29" borderId="41" xfId="137" applyFont="1" applyFill="1" applyBorder="1"/>
    <xf numFmtId="0" fontId="90" fillId="29" borderId="42" xfId="137" applyFont="1" applyFill="1" applyBorder="1"/>
    <xf numFmtId="0" fontId="90" fillId="29" borderId="43" xfId="137" applyFont="1" applyFill="1" applyBorder="1"/>
    <xf numFmtId="0" fontId="90" fillId="29" borderId="44" xfId="137" applyFont="1" applyFill="1" applyBorder="1"/>
    <xf numFmtId="43" fontId="90" fillId="29" borderId="38" xfId="82" applyFont="1" applyFill="1" applyBorder="1"/>
    <xf numFmtId="43" fontId="90" fillId="29" borderId="47" xfId="82" applyFont="1" applyFill="1" applyBorder="1"/>
    <xf numFmtId="165" fontId="90" fillId="0" borderId="90" xfId="137" applyNumberFormat="1" applyFont="1" applyFill="1" applyBorder="1" applyAlignment="1">
      <alignment horizontal="center"/>
    </xf>
    <xf numFmtId="0" fontId="90" fillId="0" borderId="0" xfId="137" applyFont="1" applyFill="1" applyBorder="1" applyAlignment="1"/>
    <xf numFmtId="4" fontId="101" fillId="0" borderId="18" xfId="0" applyNumberFormat="1" applyFont="1" applyFill="1" applyBorder="1" applyAlignment="1">
      <alignment vertical="top"/>
    </xf>
    <xf numFmtId="4" fontId="101" fillId="0" borderId="0" xfId="0" applyNumberFormat="1" applyFont="1" applyFill="1" applyBorder="1" applyAlignment="1">
      <alignment vertical="top"/>
    </xf>
    <xf numFmtId="4" fontId="99" fillId="0" borderId="15" xfId="0" applyNumberFormat="1" applyFont="1" applyBorder="1"/>
    <xf numFmtId="4" fontId="99" fillId="0" borderId="19" xfId="0" applyNumberFormat="1" applyFont="1" applyBorder="1"/>
    <xf numFmtId="4" fontId="99" fillId="0" borderId="16" xfId="0" applyNumberFormat="1" applyFont="1" applyBorder="1"/>
    <xf numFmtId="0" fontId="90" fillId="0" borderId="18" xfId="137" applyFont="1" applyFill="1" applyBorder="1" applyAlignment="1"/>
    <xf numFmtId="165" fontId="90" fillId="29" borderId="59" xfId="137" applyNumberFormat="1" applyFont="1" applyFill="1" applyBorder="1" applyAlignment="1">
      <alignment horizontal="center"/>
    </xf>
    <xf numFmtId="0" fontId="93" fillId="29" borderId="65" xfId="137" applyFont="1" applyFill="1" applyBorder="1"/>
    <xf numFmtId="0" fontId="22" fillId="29" borderId="66" xfId="137" applyFill="1" applyBorder="1"/>
    <xf numFmtId="0" fontId="22" fillId="29" borderId="67" xfId="137" applyFill="1" applyBorder="1"/>
    <xf numFmtId="0" fontId="90" fillId="29" borderId="60" xfId="137" applyFont="1" applyFill="1" applyBorder="1" applyAlignment="1">
      <alignment horizontal="center"/>
    </xf>
    <xf numFmtId="43" fontId="90" fillId="29" borderId="60" xfId="82" applyFont="1" applyFill="1" applyBorder="1"/>
    <xf numFmtId="43" fontId="93" fillId="29" borderId="60" xfId="82" applyFont="1" applyFill="1" applyBorder="1"/>
    <xf numFmtId="43" fontId="93" fillId="30" borderId="60" xfId="82" applyFont="1" applyFill="1" applyBorder="1"/>
    <xf numFmtId="43" fontId="93" fillId="30" borderId="91" xfId="82" applyFont="1" applyFill="1" applyBorder="1"/>
    <xf numFmtId="43" fontId="95" fillId="30" borderId="91" xfId="82" applyFont="1" applyFill="1" applyBorder="1"/>
    <xf numFmtId="0" fontId="95" fillId="29" borderId="65" xfId="137" applyFont="1" applyFill="1" applyBorder="1"/>
    <xf numFmtId="0" fontId="65" fillId="29" borderId="66" xfId="137" applyFont="1" applyFill="1" applyBorder="1"/>
    <xf numFmtId="0" fontId="95" fillId="29" borderId="60" xfId="137" applyFont="1" applyFill="1" applyBorder="1" applyAlignment="1">
      <alignment horizontal="center"/>
    </xf>
    <xf numFmtId="43" fontId="95" fillId="29" borderId="60" xfId="82" applyFont="1" applyFill="1" applyBorder="1"/>
    <xf numFmtId="43" fontId="106" fillId="29" borderId="60" xfId="82" applyFont="1" applyFill="1" applyBorder="1"/>
    <xf numFmtId="43" fontId="95" fillId="30" borderId="38" xfId="82" applyFont="1" applyFill="1" applyBorder="1"/>
    <xf numFmtId="0" fontId="113" fillId="29" borderId="77" xfId="137" applyFont="1" applyFill="1" applyBorder="1" applyAlignment="1">
      <alignment horizontal="center"/>
    </xf>
    <xf numFmtId="0" fontId="113" fillId="29" borderId="39" xfId="137" applyFont="1" applyFill="1" applyBorder="1"/>
    <xf numFmtId="0" fontId="113" fillId="29" borderId="40" xfId="137" applyFont="1" applyFill="1" applyBorder="1"/>
    <xf numFmtId="0" fontId="113" fillId="29" borderId="41" xfId="137" applyFont="1" applyFill="1" applyBorder="1"/>
    <xf numFmtId="43" fontId="113" fillId="29" borderId="39" xfId="82" applyFont="1" applyFill="1" applyBorder="1" applyAlignment="1">
      <alignment horizontal="center"/>
    </xf>
    <xf numFmtId="0" fontId="90" fillId="0" borderId="40" xfId="137" applyFont="1" applyFill="1" applyBorder="1" applyAlignment="1"/>
    <xf numFmtId="0" fontId="90" fillId="0" borderId="41" xfId="137" applyFont="1" applyFill="1" applyBorder="1" applyAlignment="1"/>
    <xf numFmtId="4" fontId="98" fillId="26" borderId="0" xfId="0" applyNumberFormat="1" applyFont="1" applyFill="1" applyBorder="1" applyAlignment="1">
      <alignment vertical="top"/>
    </xf>
    <xf numFmtId="4" fontId="102" fillId="0" borderId="0" xfId="0" applyNumberFormat="1" applyFont="1" applyFill="1" applyBorder="1" applyAlignment="1"/>
    <xf numFmtId="4" fontId="99" fillId="0" borderId="0" xfId="0" applyNumberFormat="1" applyFont="1" applyBorder="1"/>
    <xf numFmtId="4" fontId="99" fillId="0" borderId="31" xfId="0" applyNumberFormat="1" applyFont="1" applyFill="1" applyBorder="1"/>
    <xf numFmtId="4" fontId="102" fillId="0" borderId="31" xfId="0" applyNumberFormat="1" applyFont="1" applyFill="1" applyBorder="1"/>
    <xf numFmtId="4" fontId="100" fillId="0" borderId="18" xfId="0" applyNumberFormat="1" applyFont="1" applyFill="1" applyBorder="1" applyAlignment="1">
      <alignment vertical="center"/>
    </xf>
    <xf numFmtId="4" fontId="102" fillId="0" borderId="18" xfId="0" applyNumberFormat="1" applyFont="1" applyFill="1" applyBorder="1" applyAlignment="1"/>
    <xf numFmtId="4" fontId="101" fillId="0" borderId="92" xfId="0" applyNumberFormat="1" applyFont="1" applyFill="1" applyBorder="1" applyAlignment="1">
      <alignment vertical="center"/>
    </xf>
    <xf numFmtId="4" fontId="101" fillId="0" borderId="55" xfId="0" applyNumberFormat="1" applyFont="1" applyFill="1" applyBorder="1" applyAlignment="1">
      <alignment vertical="center"/>
    </xf>
    <xf numFmtId="4" fontId="98" fillId="0" borderId="54" xfId="0" applyNumberFormat="1" applyFont="1" applyFill="1" applyBorder="1" applyAlignment="1">
      <alignment vertical="top"/>
    </xf>
    <xf numFmtId="4" fontId="99" fillId="0" borderId="55" xfId="0" applyNumberFormat="1" applyFont="1" applyFill="1" applyBorder="1"/>
    <xf numFmtId="4" fontId="99" fillId="0" borderId="56" xfId="0" applyNumberFormat="1" applyFont="1" applyFill="1" applyBorder="1"/>
    <xf numFmtId="4" fontId="98" fillId="0" borderId="54" xfId="0" applyNumberFormat="1" applyFont="1" applyFill="1" applyBorder="1" applyAlignment="1">
      <alignment vertical="center"/>
    </xf>
    <xf numFmtId="4" fontId="99" fillId="0" borderId="93" xfId="0" applyNumberFormat="1" applyFont="1" applyFill="1" applyBorder="1"/>
    <xf numFmtId="4" fontId="100" fillId="0" borderId="94" xfId="0" applyNumberFormat="1" applyFont="1" applyFill="1" applyBorder="1" applyAlignment="1">
      <alignment vertical="center"/>
    </xf>
    <xf numFmtId="4" fontId="99" fillId="0" borderId="95" xfId="0" applyNumberFormat="1" applyFont="1" applyFill="1" applyBorder="1"/>
    <xf numFmtId="4" fontId="101" fillId="0" borderId="96" xfId="0" applyNumberFormat="1" applyFont="1" applyFill="1" applyBorder="1" applyAlignment="1">
      <alignment vertical="center"/>
    </xf>
    <xf numFmtId="4" fontId="99" fillId="0" borderId="97" xfId="0" applyNumberFormat="1" applyFont="1" applyFill="1" applyBorder="1"/>
    <xf numFmtId="4" fontId="101" fillId="0" borderId="98" xfId="0" applyNumberFormat="1" applyFont="1" applyFill="1" applyBorder="1" applyAlignment="1">
      <alignment vertical="top"/>
    </xf>
    <xf numFmtId="4" fontId="99" fillId="0" borderId="99" xfId="0" applyNumberFormat="1" applyFont="1" applyFill="1" applyBorder="1"/>
    <xf numFmtId="4" fontId="99" fillId="0" borderId="100" xfId="0" applyNumberFormat="1" applyFont="1" applyBorder="1"/>
    <xf numFmtId="4" fontId="99" fillId="0" borderId="100" xfId="0" applyNumberFormat="1" applyFont="1" applyFill="1" applyBorder="1" applyAlignment="1">
      <alignment wrapText="1"/>
    </xf>
    <xf numFmtId="4" fontId="61" fillId="0" borderId="100" xfId="137" applyNumberFormat="1" applyFont="1" applyFill="1" applyBorder="1"/>
    <xf numFmtId="0" fontId="90" fillId="0" borderId="90" xfId="137" applyFont="1" applyFill="1" applyBorder="1"/>
    <xf numFmtId="4" fontId="99" fillId="0" borderId="100" xfId="0" applyNumberFormat="1" applyFont="1" applyFill="1" applyBorder="1"/>
    <xf numFmtId="4" fontId="99" fillId="0" borderId="89" xfId="0" applyNumberFormat="1" applyFont="1" applyFill="1" applyBorder="1"/>
    <xf numFmtId="4" fontId="99" fillId="0" borderId="101" xfId="0" applyNumberFormat="1" applyFont="1" applyFill="1" applyBorder="1"/>
    <xf numFmtId="4" fontId="99" fillId="0" borderId="50" xfId="0" applyNumberFormat="1" applyFont="1" applyBorder="1"/>
    <xf numFmtId="4" fontId="98" fillId="26" borderId="54" xfId="0" applyNumberFormat="1" applyFont="1" applyFill="1" applyBorder="1" applyAlignment="1">
      <alignment vertical="center"/>
    </xf>
    <xf numFmtId="4" fontId="99" fillId="26" borderId="56" xfId="0" applyNumberFormat="1" applyFont="1" applyFill="1" applyBorder="1"/>
    <xf numFmtId="4" fontId="98" fillId="26" borderId="54" xfId="0" applyNumberFormat="1" applyFont="1" applyFill="1" applyBorder="1" applyAlignment="1">
      <alignment vertical="top"/>
    </xf>
    <xf numFmtId="4" fontId="99" fillId="26" borderId="93" xfId="0" applyNumberFormat="1" applyFont="1" applyFill="1" applyBorder="1"/>
    <xf numFmtId="4" fontId="102" fillId="0" borderId="32" xfId="0" applyNumberFormat="1" applyFont="1" applyFill="1" applyBorder="1"/>
    <xf numFmtId="4" fontId="99" fillId="0" borderId="33" xfId="0" applyNumberFormat="1" applyFont="1" applyFill="1" applyBorder="1"/>
    <xf numFmtId="4" fontId="99" fillId="0" borderId="18" xfId="0" applyNumberFormat="1" applyFont="1" applyFill="1" applyBorder="1" applyAlignment="1">
      <alignment horizontal="center" vertical="top"/>
    </xf>
    <xf numFmtId="4" fontId="60" fillId="0" borderId="0" xfId="137" applyNumberFormat="1" applyFont="1" applyFill="1" applyBorder="1" applyAlignment="1"/>
    <xf numFmtId="4" fontId="60" fillId="0" borderId="19" xfId="137" applyNumberFormat="1" applyFont="1" applyFill="1" applyBorder="1" applyAlignment="1"/>
    <xf numFmtId="4" fontId="121" fillId="0" borderId="86" xfId="0" applyNumberFormat="1" applyFont="1" applyFill="1" applyBorder="1" applyAlignment="1">
      <alignment vertical="center"/>
    </xf>
    <xf numFmtId="4" fontId="102" fillId="0" borderId="99" xfId="0" applyNumberFormat="1" applyFont="1" applyFill="1" applyBorder="1" applyAlignment="1"/>
    <xf numFmtId="4" fontId="99" fillId="0" borderId="88" xfId="0" applyNumberFormat="1" applyFont="1" applyBorder="1"/>
    <xf numFmtId="4" fontId="102" fillId="0" borderId="88" xfId="0" applyNumberFormat="1" applyFont="1" applyFill="1" applyBorder="1"/>
    <xf numFmtId="4" fontId="61" fillId="0" borderId="18" xfId="137" applyNumberFormat="1" applyFont="1" applyFill="1" applyBorder="1" applyAlignment="1">
      <alignment horizontal="center"/>
    </xf>
    <xf numFmtId="4" fontId="99" fillId="0" borderId="0" xfId="0" applyNumberFormat="1" applyFont="1" applyFill="1" applyBorder="1" applyAlignment="1">
      <alignment horizontal="left"/>
    </xf>
    <xf numFmtId="4" fontId="99" fillId="0" borderId="19" xfId="0" applyNumberFormat="1" applyFont="1" applyFill="1" applyBorder="1" applyAlignment="1">
      <alignment horizontal="left"/>
    </xf>
    <xf numFmtId="4" fontId="99" fillId="0" borderId="0" xfId="0" applyNumberFormat="1" applyFont="1" applyFill="1" applyBorder="1" applyAlignment="1">
      <alignment horizontal="left"/>
    </xf>
    <xf numFmtId="43" fontId="93" fillId="0" borderId="68" xfId="82" applyFont="1" applyFill="1" applyBorder="1"/>
    <xf numFmtId="43" fontId="93" fillId="27" borderId="68" xfId="82" applyFont="1" applyFill="1" applyBorder="1"/>
    <xf numFmtId="4" fontId="99" fillId="0" borderId="0" xfId="0" applyNumberFormat="1" applyFont="1" applyFill="1" applyBorder="1" applyAlignment="1"/>
    <xf numFmtId="4" fontId="29" fillId="0" borderId="102" xfId="123" applyNumberFormat="1" applyFont="1" applyFill="1" applyBorder="1" applyAlignment="1"/>
    <xf numFmtId="4" fontId="29" fillId="0" borderId="103" xfId="123" applyNumberFormat="1" applyFont="1" applyFill="1" applyBorder="1" applyAlignment="1"/>
    <xf numFmtId="0" fontId="31" fillId="0" borderId="0" xfId="123" applyFont="1" applyAlignment="1">
      <alignment horizontal="center"/>
    </xf>
    <xf numFmtId="0" fontId="9" fillId="0" borderId="0" xfId="123" applyAlignment="1">
      <alignment horizontal="right"/>
    </xf>
    <xf numFmtId="0" fontId="33" fillId="0" borderId="0" xfId="123" applyFont="1" applyAlignment="1">
      <alignment horizontal="center"/>
    </xf>
    <xf numFmtId="4" fontId="29" fillId="0" borderId="104" xfId="123" applyNumberFormat="1" applyFont="1" applyBorder="1" applyAlignment="1"/>
    <xf numFmtId="43" fontId="30" fillId="0" borderId="13" xfId="123" applyNumberFormat="1" applyFont="1" applyFill="1" applyBorder="1" applyAlignment="1">
      <alignment horizontal="right"/>
    </xf>
    <xf numFmtId="4" fontId="30" fillId="0" borderId="30" xfId="123" applyNumberFormat="1" applyFont="1" applyBorder="1" applyAlignment="1">
      <alignment horizontal="right"/>
    </xf>
    <xf numFmtId="43" fontId="30" fillId="0" borderId="30" xfId="83" applyFont="1" applyBorder="1" applyAlignment="1">
      <alignment horizontal="right"/>
    </xf>
    <xf numFmtId="4" fontId="80" fillId="25" borderId="0" xfId="123" applyNumberFormat="1" applyFont="1" applyFill="1" applyAlignment="1">
      <alignment horizontal="center"/>
    </xf>
    <xf numFmtId="0" fontId="48" fillId="0" borderId="0" xfId="123" applyFont="1" applyAlignment="1"/>
    <xf numFmtId="0" fontId="81" fillId="0" borderId="0" xfId="123" applyFont="1"/>
    <xf numFmtId="0" fontId="113" fillId="0" borderId="39" xfId="137" applyFont="1" applyFill="1" applyBorder="1" applyAlignment="1">
      <alignment horizontal="left"/>
    </xf>
    <xf numFmtId="0" fontId="113" fillId="0" borderId="40" xfId="137" applyFont="1" applyFill="1" applyBorder="1" applyAlignment="1">
      <alignment horizontal="left"/>
    </xf>
    <xf numFmtId="0" fontId="113" fillId="0" borderId="41" xfId="137" applyFont="1" applyFill="1" applyBorder="1" applyAlignment="1">
      <alignment horizontal="left"/>
    </xf>
    <xf numFmtId="0" fontId="22" fillId="31" borderId="0" xfId="137" applyFill="1" applyBorder="1"/>
    <xf numFmtId="0" fontId="90" fillId="31" borderId="36" xfId="137" applyFont="1" applyFill="1" applyBorder="1" applyAlignment="1">
      <alignment horizontal="center"/>
    </xf>
    <xf numFmtId="0" fontId="92" fillId="31" borderId="0" xfId="0" applyFont="1" applyFill="1" applyBorder="1"/>
    <xf numFmtId="0" fontId="90" fillId="31" borderId="19" xfId="0" applyFont="1" applyFill="1" applyBorder="1"/>
    <xf numFmtId="0" fontId="90" fillId="31" borderId="37" xfId="137" applyFont="1" applyFill="1" applyBorder="1" applyAlignment="1">
      <alignment horizontal="center"/>
    </xf>
    <xf numFmtId="43" fontId="90" fillId="31" borderId="37" xfId="82" applyFont="1" applyFill="1" applyBorder="1"/>
    <xf numFmtId="43" fontId="91" fillId="31" borderId="38" xfId="82" applyFont="1" applyFill="1" applyBorder="1"/>
    <xf numFmtId="0" fontId="22" fillId="31" borderId="0" xfId="137" applyFill="1"/>
    <xf numFmtId="0" fontId="92" fillId="31" borderId="39" xfId="137" applyFont="1" applyFill="1" applyBorder="1"/>
    <xf numFmtId="0" fontId="92" fillId="31" borderId="40" xfId="137" applyFont="1" applyFill="1" applyBorder="1"/>
    <xf numFmtId="0" fontId="92" fillId="31" borderId="41" xfId="137" applyFont="1" applyFill="1" applyBorder="1"/>
    <xf numFmtId="0" fontId="93" fillId="31" borderId="37" xfId="137" applyFont="1" applyFill="1" applyBorder="1" applyAlignment="1">
      <alignment horizontal="center"/>
    </xf>
    <xf numFmtId="43" fontId="93" fillId="31" borderId="37" xfId="82" applyFont="1" applyFill="1" applyBorder="1"/>
    <xf numFmtId="43" fontId="93" fillId="31" borderId="38" xfId="82" applyFont="1" applyFill="1" applyBorder="1"/>
    <xf numFmtId="0" fontId="95" fillId="31" borderId="39" xfId="137" applyFont="1" applyFill="1" applyBorder="1" applyAlignment="1"/>
    <xf numFmtId="0" fontId="22" fillId="31" borderId="40" xfId="137" applyFill="1" applyBorder="1" applyAlignment="1"/>
    <xf numFmtId="0" fontId="22" fillId="31" borderId="41" xfId="137" applyFill="1" applyBorder="1" applyAlignment="1"/>
    <xf numFmtId="0" fontId="124" fillId="31" borderId="39" xfId="137" applyFont="1" applyFill="1" applyBorder="1" applyAlignment="1">
      <alignment horizontal="left"/>
    </xf>
    <xf numFmtId="0" fontId="79" fillId="31" borderId="40" xfId="137" applyFont="1" applyFill="1" applyBorder="1" applyAlignment="1"/>
    <xf numFmtId="0" fontId="9" fillId="31" borderId="41" xfId="137" applyFont="1" applyFill="1" applyBorder="1" applyAlignment="1"/>
    <xf numFmtId="43" fontId="90" fillId="31" borderId="38" xfId="82" applyFont="1" applyFill="1" applyBorder="1"/>
    <xf numFmtId="0" fontId="94" fillId="31" borderId="37" xfId="137" applyFont="1" applyFill="1" applyBorder="1" applyAlignment="1">
      <alignment horizontal="center"/>
    </xf>
    <xf numFmtId="0" fontId="92" fillId="31" borderId="61" xfId="137" applyFont="1" applyFill="1" applyBorder="1" applyAlignment="1">
      <alignment horizontal="left"/>
    </xf>
    <xf numFmtId="0" fontId="92" fillId="31" borderId="62" xfId="137" applyFont="1" applyFill="1" applyBorder="1" applyAlignment="1">
      <alignment horizontal="left"/>
    </xf>
    <xf numFmtId="0" fontId="90" fillId="31" borderId="62" xfId="137" applyFont="1" applyFill="1" applyBorder="1" applyAlignment="1">
      <alignment horizontal="left"/>
    </xf>
    <xf numFmtId="0" fontId="90" fillId="31" borderId="63" xfId="137" applyFont="1" applyFill="1" applyBorder="1" applyAlignment="1">
      <alignment horizontal="left"/>
    </xf>
    <xf numFmtId="2" fontId="90" fillId="28" borderId="37" xfId="137" applyNumberFormat="1" applyFont="1" applyFill="1" applyBorder="1" applyAlignment="1">
      <alignment horizontal="center"/>
    </xf>
    <xf numFmtId="43" fontId="78" fillId="27" borderId="68" xfId="82" applyFont="1" applyFill="1" applyBorder="1" applyAlignment="1"/>
    <xf numFmtId="43" fontId="78" fillId="28" borderId="68" xfId="82" applyFont="1" applyFill="1" applyBorder="1" applyAlignment="1">
      <alignment horizontal="center" wrapText="1"/>
    </xf>
    <xf numFmtId="43" fontId="78" fillId="28" borderId="68" xfId="82" applyFont="1" applyFill="1" applyBorder="1" applyAlignment="1"/>
    <xf numFmtId="43" fontId="78" fillId="28" borderId="68" xfId="82" applyFont="1" applyFill="1" applyBorder="1" applyAlignment="1">
      <alignment horizontal="center"/>
    </xf>
    <xf numFmtId="43" fontId="95" fillId="28" borderId="60" xfId="82" applyFont="1" applyFill="1" applyBorder="1"/>
    <xf numFmtId="43" fontId="93" fillId="27" borderId="57" xfId="82" applyFont="1" applyFill="1" applyBorder="1"/>
    <xf numFmtId="2" fontId="66" fillId="24" borderId="68" xfId="139" applyNumberFormat="1" applyFont="1" applyFill="1" applyBorder="1" applyAlignment="1">
      <alignment horizontal="right" vertical="top"/>
    </xf>
    <xf numFmtId="43" fontId="78" fillId="24" borderId="68" xfId="83" applyFont="1" applyFill="1" applyBorder="1" applyAlignment="1"/>
    <xf numFmtId="4" fontId="99" fillId="0" borderId="19" xfId="0" applyNumberFormat="1" applyFont="1" applyFill="1" applyBorder="1" applyAlignment="1"/>
    <xf numFmtId="43" fontId="115" fillId="0" borderId="0" xfId="0" applyNumberFormat="1" applyFont="1" applyFill="1" applyBorder="1" applyAlignment="1"/>
    <xf numFmtId="43" fontId="125" fillId="0" borderId="0" xfId="0" applyNumberFormat="1" applyFont="1" applyFill="1" applyBorder="1"/>
    <xf numFmtId="4" fontId="99" fillId="0" borderId="0" xfId="0" applyNumberFormat="1" applyFont="1" applyFill="1" applyBorder="1" applyAlignment="1">
      <alignment horizontal="left"/>
    </xf>
    <xf numFmtId="4" fontId="61" fillId="0" borderId="18" xfId="137" applyNumberFormat="1" applyFont="1" applyFill="1" applyBorder="1" applyAlignment="1">
      <alignment horizontal="center"/>
    </xf>
    <xf numFmtId="4" fontId="102" fillId="0" borderId="17" xfId="0" applyNumberFormat="1" applyFont="1" applyFill="1" applyBorder="1" applyAlignment="1">
      <alignment vertical="center"/>
    </xf>
    <xf numFmtId="4" fontId="98" fillId="26" borderId="13" xfId="0" applyNumberFormat="1" applyFont="1" applyFill="1" applyBorder="1" applyAlignment="1">
      <alignment vertical="top"/>
    </xf>
    <xf numFmtId="0" fontId="93" fillId="0" borderId="18" xfId="137" applyFont="1" applyFill="1" applyBorder="1" applyAlignment="1"/>
    <xf numFmtId="0" fontId="93" fillId="0" borderId="0" xfId="137" applyFont="1" applyFill="1" applyBorder="1" applyAlignment="1"/>
    <xf numFmtId="4" fontId="114" fillId="0" borderId="0" xfId="0" applyNumberFormat="1" applyFont="1" applyFill="1" applyBorder="1" applyAlignment="1">
      <alignment vertical="top"/>
    </xf>
    <xf numFmtId="4" fontId="99" fillId="0" borderId="18" xfId="0" applyNumberFormat="1" applyFont="1" applyBorder="1" applyAlignment="1"/>
    <xf numFmtId="4" fontId="99" fillId="0" borderId="0" xfId="0" applyNumberFormat="1" applyFont="1" applyBorder="1" applyAlignment="1"/>
    <xf numFmtId="4" fontId="99" fillId="0" borderId="19" xfId="0" applyNumberFormat="1" applyFont="1" applyBorder="1" applyAlignment="1"/>
    <xf numFmtId="4" fontId="130" fillId="0" borderId="0" xfId="0" applyNumberFormat="1" applyFont="1" applyFill="1" applyBorder="1" applyAlignment="1">
      <alignment vertical="top"/>
    </xf>
    <xf numFmtId="0" fontId="107" fillId="0" borderId="0" xfId="137" applyFont="1" applyFill="1" applyBorder="1" applyAlignment="1"/>
    <xf numFmtId="0" fontId="90" fillId="0" borderId="39" xfId="137" applyFont="1" applyFill="1" applyBorder="1" applyAlignment="1">
      <alignment horizontal="left"/>
    </xf>
    <xf numFmtId="0" fontId="90" fillId="0" borderId="40" xfId="137" applyFont="1" applyFill="1" applyBorder="1" applyAlignment="1">
      <alignment horizontal="left"/>
    </xf>
    <xf numFmtId="0" fontId="90" fillId="0" borderId="41" xfId="137" applyFont="1" applyFill="1" applyBorder="1" applyAlignment="1">
      <alignment horizontal="left"/>
    </xf>
    <xf numFmtId="0" fontId="90" fillId="0" borderId="40" xfId="137" applyFont="1" applyFill="1" applyBorder="1" applyAlignment="1">
      <alignment horizontal="center"/>
    </xf>
    <xf numFmtId="0" fontId="90" fillId="0" borderId="41" xfId="137" applyFont="1" applyFill="1" applyBorder="1" applyAlignment="1">
      <alignment horizontal="center"/>
    </xf>
    <xf numFmtId="0" fontId="90" fillId="29" borderId="39" xfId="137" applyFont="1" applyFill="1" applyBorder="1" applyAlignment="1">
      <alignment horizontal="left"/>
    </xf>
    <xf numFmtId="0" fontId="90" fillId="29" borderId="40" xfId="137" applyFont="1" applyFill="1" applyBorder="1" applyAlignment="1">
      <alignment horizontal="left"/>
    </xf>
    <xf numFmtId="0" fontId="90" fillId="29" borderId="41" xfId="137" applyFont="1" applyFill="1" applyBorder="1" applyAlignment="1">
      <alignment horizontal="left"/>
    </xf>
    <xf numFmtId="4" fontId="99" fillId="0" borderId="0" xfId="0" applyNumberFormat="1" applyFont="1" applyFill="1" applyBorder="1" applyAlignment="1">
      <alignment horizontal="left"/>
    </xf>
    <xf numFmtId="4" fontId="99" fillId="0" borderId="19" xfId="0" applyNumberFormat="1" applyFont="1" applyFill="1" applyBorder="1" applyAlignment="1">
      <alignment horizontal="left"/>
    </xf>
    <xf numFmtId="0" fontId="90" fillId="0" borderId="19" xfId="137" applyFont="1" applyFill="1" applyBorder="1" applyAlignment="1">
      <alignment horizontal="center"/>
    </xf>
    <xf numFmtId="0" fontId="90" fillId="0" borderId="0" xfId="137" applyFont="1" applyFill="1" applyBorder="1" applyAlignment="1">
      <alignment horizontal="left"/>
    </xf>
    <xf numFmtId="4" fontId="99" fillId="0" borderId="18" xfId="0" applyNumberFormat="1" applyFont="1" applyFill="1" applyBorder="1" applyAlignment="1">
      <alignment horizontal="center"/>
    </xf>
    <xf numFmtId="4" fontId="61" fillId="0" borderId="0" xfId="137" applyNumberFormat="1" applyFont="1" applyFill="1" applyBorder="1" applyAlignment="1">
      <alignment horizontal="center"/>
    </xf>
    <xf numFmtId="4" fontId="61" fillId="0" borderId="19" xfId="137" applyNumberFormat="1" applyFont="1" applyFill="1" applyBorder="1" applyAlignment="1">
      <alignment horizontal="center"/>
    </xf>
    <xf numFmtId="0" fontId="90" fillId="0" borderId="18" xfId="137" applyFont="1" applyFill="1" applyBorder="1" applyAlignment="1">
      <alignment horizontal="left"/>
    </xf>
    <xf numFmtId="0" fontId="90" fillId="0" borderId="19" xfId="137" applyFont="1" applyFill="1" applyBorder="1" applyAlignment="1">
      <alignment horizontal="left"/>
    </xf>
    <xf numFmtId="4" fontId="61" fillId="0" borderId="18" xfId="137" applyNumberFormat="1" applyFont="1" applyFill="1" applyBorder="1" applyAlignment="1">
      <alignment horizontal="center"/>
    </xf>
    <xf numFmtId="0" fontId="0" fillId="0" borderId="0" xfId="0" applyBorder="1"/>
    <xf numFmtId="4" fontId="60" fillId="0" borderId="0" xfId="137" applyNumberFormat="1" applyFont="1" applyFill="1" applyBorder="1"/>
    <xf numFmtId="43" fontId="115" fillId="0" borderId="39" xfId="0" applyNumberFormat="1" applyFont="1" applyFill="1" applyBorder="1" applyAlignment="1">
      <alignment horizontal="center"/>
    </xf>
    <xf numFmtId="0" fontId="115" fillId="0" borderId="40" xfId="0" applyFont="1" applyFill="1" applyBorder="1" applyAlignment="1">
      <alignment horizontal="center"/>
    </xf>
    <xf numFmtId="43" fontId="113" fillId="29" borderId="39" xfId="0" applyNumberFormat="1" applyFont="1" applyFill="1" applyBorder="1" applyAlignment="1">
      <alignment horizontal="center"/>
    </xf>
    <xf numFmtId="43" fontId="113" fillId="29" borderId="40" xfId="0" applyNumberFormat="1" applyFont="1" applyFill="1" applyBorder="1" applyAlignment="1">
      <alignment horizontal="center"/>
    </xf>
    <xf numFmtId="0" fontId="111" fillId="0" borderId="39" xfId="137" applyFont="1" applyFill="1" applyBorder="1" applyAlignment="1">
      <alignment horizontal="left"/>
    </xf>
    <xf numFmtId="0" fontId="111" fillId="0" borderId="40" xfId="137" applyFont="1" applyFill="1" applyBorder="1" applyAlignment="1">
      <alignment horizontal="left"/>
    </xf>
    <xf numFmtId="0" fontId="111" fillId="0" borderId="41" xfId="137" applyFont="1" applyFill="1" applyBorder="1" applyAlignment="1">
      <alignment horizontal="left"/>
    </xf>
    <xf numFmtId="4" fontId="114" fillId="0" borderId="18" xfId="0" applyNumberFormat="1" applyFont="1" applyFill="1" applyBorder="1" applyAlignment="1">
      <alignment vertical="top"/>
    </xf>
    <xf numFmtId="0" fontId="132" fillId="0" borderId="0" xfId="0" applyFont="1" applyAlignment="1"/>
    <xf numFmtId="0" fontId="9" fillId="0" borderId="0" xfId="0" applyFont="1"/>
    <xf numFmtId="0" fontId="133" fillId="0" borderId="0" xfId="0" applyFont="1"/>
    <xf numFmtId="0" fontId="9" fillId="0" borderId="84" xfId="0" applyFont="1" applyBorder="1"/>
    <xf numFmtId="0" fontId="134" fillId="0" borderId="84" xfId="0" applyFont="1" applyBorder="1"/>
    <xf numFmtId="0" fontId="134" fillId="0" borderId="117" xfId="0" applyFont="1" applyBorder="1"/>
    <xf numFmtId="0" fontId="0" fillId="0" borderId="68" xfId="0" applyBorder="1"/>
    <xf numFmtId="0" fontId="9" fillId="0" borderId="68" xfId="0" applyFont="1" applyBorder="1"/>
    <xf numFmtId="0" fontId="0" fillId="0" borderId="85" xfId="0" applyBorder="1"/>
    <xf numFmtId="0" fontId="0" fillId="0" borderId="28" xfId="0" applyBorder="1"/>
    <xf numFmtId="0" fontId="0" fillId="0" borderId="11" xfId="0" applyBorder="1"/>
    <xf numFmtId="0" fontId="9" fillId="0" borderId="11" xfId="0" applyFont="1" applyBorder="1"/>
    <xf numFmtId="0" fontId="0" fillId="0" borderId="29" xfId="0" applyBorder="1"/>
    <xf numFmtId="0" fontId="2" fillId="0" borderId="20" xfId="0" applyFont="1" applyBorder="1"/>
    <xf numFmtId="0" fontId="89" fillId="0" borderId="20" xfId="0" applyFont="1" applyBorder="1"/>
    <xf numFmtId="2" fontId="0" fillId="0" borderId="20" xfId="0" applyNumberFormat="1" applyBorder="1"/>
    <xf numFmtId="2" fontId="2" fillId="0" borderId="20" xfId="0" applyNumberFormat="1" applyFont="1" applyBorder="1"/>
    <xf numFmtId="0" fontId="135" fillId="0" borderId="20" xfId="0" applyFont="1" applyBorder="1"/>
    <xf numFmtId="0" fontId="88" fillId="0" borderId="20" xfId="0" applyFont="1" applyBorder="1"/>
    <xf numFmtId="2" fontId="135" fillId="0" borderId="23" xfId="0" applyNumberFormat="1" applyFont="1" applyBorder="1"/>
    <xf numFmtId="0" fontId="88" fillId="0" borderId="30" xfId="0" applyFont="1" applyBorder="1"/>
    <xf numFmtId="2" fontId="135" fillId="0" borderId="20" xfId="0" applyNumberFormat="1" applyFont="1" applyBorder="1"/>
    <xf numFmtId="0" fontId="135" fillId="0" borderId="23" xfId="0" applyFont="1" applyBorder="1"/>
    <xf numFmtId="0" fontId="0" fillId="0" borderId="20" xfId="0" applyFont="1" applyBorder="1"/>
    <xf numFmtId="2" fontId="136" fillId="0" borderId="20" xfId="0" applyNumberFormat="1" applyFont="1" applyBorder="1"/>
    <xf numFmtId="0" fontId="88" fillId="0" borderId="0" xfId="0" applyFont="1"/>
    <xf numFmtId="2" fontId="136" fillId="0" borderId="23" xfId="0" applyNumberFormat="1" applyFont="1" applyBorder="1"/>
    <xf numFmtId="0" fontId="0" fillId="0" borderId="68" xfId="0" applyFill="1" applyBorder="1"/>
    <xf numFmtId="2" fontId="88" fillId="0" borderId="20" xfId="0" applyNumberFormat="1" applyFont="1" applyBorder="1"/>
    <xf numFmtId="0" fontId="0" fillId="0" borderId="20" xfId="0" applyFill="1" applyBorder="1"/>
    <xf numFmtId="0" fontId="2" fillId="0" borderId="0" xfId="0" applyFont="1"/>
    <xf numFmtId="2" fontId="88" fillId="0" borderId="28" xfId="0" applyNumberFormat="1" applyFont="1" applyBorder="1"/>
    <xf numFmtId="2" fontId="135" fillId="0" borderId="11" xfId="0" applyNumberFormat="1" applyFont="1" applyBorder="1"/>
    <xf numFmtId="2" fontId="89" fillId="0" borderId="11" xfId="0" applyNumberFormat="1" applyFont="1" applyBorder="1"/>
    <xf numFmtId="0" fontId="88" fillId="0" borderId="11" xfId="0" applyFont="1" applyBorder="1"/>
    <xf numFmtId="0" fontId="88" fillId="0" borderId="29" xfId="0" applyFont="1" applyBorder="1"/>
    <xf numFmtId="0" fontId="88" fillId="0" borderId="31" xfId="0" applyFont="1" applyBorder="1"/>
    <xf numFmtId="0" fontId="2" fillId="0" borderId="32" xfId="0" applyFont="1" applyBorder="1"/>
    <xf numFmtId="0" fontId="138" fillId="0" borderId="20" xfId="0" applyFont="1" applyBorder="1"/>
    <xf numFmtId="0" fontId="107" fillId="0" borderId="90" xfId="137" applyFont="1" applyFill="1" applyBorder="1" applyAlignment="1">
      <alignment horizontal="center"/>
    </xf>
    <xf numFmtId="0" fontId="90" fillId="29" borderId="36" xfId="137" applyFont="1" applyFill="1" applyBorder="1" applyAlignment="1">
      <alignment horizontal="center"/>
    </xf>
    <xf numFmtId="0" fontId="93" fillId="29" borderId="36" xfId="137" applyFont="1" applyFill="1" applyBorder="1" applyAlignment="1">
      <alignment horizontal="center"/>
    </xf>
    <xf numFmtId="0" fontId="91" fillId="29" borderId="37" xfId="137" applyFont="1" applyFill="1" applyBorder="1" applyAlignment="1">
      <alignment horizontal="center"/>
    </xf>
    <xf numFmtId="0" fontId="91" fillId="29" borderId="36" xfId="137" applyFont="1" applyFill="1" applyBorder="1" applyAlignment="1">
      <alignment horizontal="center"/>
    </xf>
    <xf numFmtId="0" fontId="91" fillId="29" borderId="0" xfId="137" applyFont="1" applyFill="1" applyBorder="1"/>
    <xf numFmtId="0" fontId="93" fillId="29" borderId="37" xfId="137" applyFont="1" applyFill="1" applyBorder="1" applyAlignment="1">
      <alignment horizontal="center"/>
    </xf>
    <xf numFmtId="43" fontId="93" fillId="29" borderId="37" xfId="82" applyFont="1" applyFill="1" applyBorder="1"/>
    <xf numFmtId="0" fontId="94" fillId="29" borderId="37" xfId="137" applyFont="1" applyFill="1" applyBorder="1" applyAlignment="1">
      <alignment horizontal="center"/>
    </xf>
    <xf numFmtId="0" fontId="90" fillId="29" borderId="40" xfId="0" applyFont="1" applyFill="1" applyBorder="1"/>
    <xf numFmtId="0" fontId="90" fillId="29" borderId="41" xfId="0" applyFont="1" applyFill="1" applyBorder="1"/>
    <xf numFmtId="0" fontId="93" fillId="29" borderId="45" xfId="137" applyFont="1" applyFill="1" applyBorder="1" applyAlignment="1">
      <alignment horizontal="center"/>
    </xf>
    <xf numFmtId="0" fontId="93" fillId="29" borderId="42" xfId="137" applyFont="1" applyFill="1" applyBorder="1"/>
    <xf numFmtId="0" fontId="93" fillId="29" borderId="43" xfId="137" applyFont="1" applyFill="1" applyBorder="1"/>
    <xf numFmtId="0" fontId="93" fillId="29" borderId="44" xfId="137" applyFont="1" applyFill="1" applyBorder="1"/>
    <xf numFmtId="0" fontId="93" fillId="29" borderId="46" xfId="137" applyFont="1" applyFill="1" applyBorder="1" applyAlignment="1">
      <alignment horizontal="center"/>
    </xf>
    <xf numFmtId="43" fontId="93" fillId="29" borderId="46" xfId="82" applyFont="1" applyFill="1" applyBorder="1"/>
    <xf numFmtId="43" fontId="95" fillId="29" borderId="37" xfId="82" applyFont="1" applyFill="1" applyBorder="1"/>
    <xf numFmtId="43" fontId="95" fillId="29" borderId="38" xfId="82" applyFont="1" applyFill="1" applyBorder="1"/>
    <xf numFmtId="43" fontId="93" fillId="29" borderId="47" xfId="82" applyFont="1" applyFill="1" applyBorder="1"/>
    <xf numFmtId="0" fontId="106" fillId="27" borderId="86" xfId="137" applyFont="1" applyFill="1" applyBorder="1" applyAlignment="1">
      <alignment horizontal="center"/>
    </xf>
    <xf numFmtId="0" fontId="95" fillId="29" borderId="18" xfId="137" applyFont="1" applyFill="1" applyBorder="1"/>
    <xf numFmtId="0" fontId="65" fillId="29" borderId="0" xfId="137" applyFont="1" applyFill="1" applyBorder="1"/>
    <xf numFmtId="0" fontId="95" fillId="29" borderId="68" xfId="137" applyFont="1" applyFill="1" applyBorder="1" applyAlignment="1">
      <alignment horizontal="center"/>
    </xf>
    <xf numFmtId="43" fontId="95" fillId="29" borderId="68" xfId="82" applyFont="1" applyFill="1" applyBorder="1"/>
    <xf numFmtId="43" fontId="95" fillId="28" borderId="68" xfId="82" applyFont="1" applyFill="1" applyBorder="1"/>
    <xf numFmtId="43" fontId="106" fillId="29" borderId="68" xfId="82" applyFont="1" applyFill="1" applyBorder="1"/>
    <xf numFmtId="43" fontId="95" fillId="27" borderId="68" xfId="82" applyFont="1" applyFill="1" applyBorder="1"/>
    <xf numFmtId="0" fontId="106" fillId="29" borderId="59" xfId="137" applyFont="1" applyFill="1" applyBorder="1" applyAlignment="1">
      <alignment horizontal="center"/>
    </xf>
    <xf numFmtId="0" fontId="106" fillId="29" borderId="118" xfId="137" applyFont="1" applyFill="1" applyBorder="1" applyAlignment="1">
      <alignment horizontal="center"/>
    </xf>
    <xf numFmtId="0" fontId="95" fillId="29" borderId="74" xfId="137" applyFont="1" applyFill="1" applyBorder="1"/>
    <xf numFmtId="0" fontId="65" fillId="29" borderId="75" xfId="137" applyFont="1" applyFill="1" applyBorder="1"/>
    <xf numFmtId="0" fontId="95" fillId="29" borderId="119" xfId="137" applyFont="1" applyFill="1" applyBorder="1" applyAlignment="1">
      <alignment horizontal="center"/>
    </xf>
    <xf numFmtId="43" fontId="95" fillId="29" borderId="119" xfId="82" applyFont="1" applyFill="1" applyBorder="1"/>
    <xf numFmtId="43" fontId="95" fillId="28" borderId="119" xfId="82" applyFont="1" applyFill="1" applyBorder="1"/>
    <xf numFmtId="43" fontId="106" fillId="29" borderId="119" xfId="82" applyFont="1" applyFill="1" applyBorder="1"/>
    <xf numFmtId="43" fontId="95" fillId="27" borderId="119" xfId="82" applyFont="1" applyFill="1" applyBorder="1"/>
    <xf numFmtId="43" fontId="95" fillId="30" borderId="120" xfId="82" applyFont="1" applyFill="1" applyBorder="1"/>
    <xf numFmtId="0" fontId="106" fillId="29" borderId="58" xfId="137" applyFont="1" applyFill="1" applyBorder="1" applyAlignment="1">
      <alignment horizontal="center"/>
    </xf>
    <xf numFmtId="0" fontId="95" fillId="29" borderId="61" xfId="137" applyFont="1" applyFill="1" applyBorder="1"/>
    <xf numFmtId="0" fontId="65" fillId="29" borderId="62" xfId="137" applyFont="1" applyFill="1" applyBorder="1"/>
    <xf numFmtId="0" fontId="95" fillId="29" borderId="57" xfId="137" applyFont="1" applyFill="1" applyBorder="1" applyAlignment="1">
      <alignment horizontal="center"/>
    </xf>
    <xf numFmtId="43" fontId="95" fillId="29" borderId="57" xfId="82" applyFont="1" applyFill="1" applyBorder="1"/>
    <xf numFmtId="43" fontId="95" fillId="28" borderId="57" xfId="82" applyFont="1" applyFill="1" applyBorder="1"/>
    <xf numFmtId="43" fontId="106" fillId="29" borderId="57" xfId="82" applyFont="1" applyFill="1" applyBorder="1"/>
    <xf numFmtId="43" fontId="95" fillId="27" borderId="57" xfId="82" applyFont="1" applyFill="1" applyBorder="1"/>
    <xf numFmtId="43" fontId="95" fillId="30" borderId="64" xfId="82" applyFont="1" applyFill="1" applyBorder="1"/>
    <xf numFmtId="43" fontId="107" fillId="28" borderId="57" xfId="82" applyFont="1" applyFill="1" applyBorder="1"/>
    <xf numFmtId="43" fontId="107" fillId="28" borderId="37" xfId="82" applyFont="1" applyFill="1" applyBorder="1"/>
    <xf numFmtId="43" fontId="107" fillId="27" borderId="57" xfId="82" applyFont="1" applyFill="1" applyBorder="1"/>
    <xf numFmtId="0" fontId="22" fillId="27" borderId="62" xfId="137" applyFill="1" applyBorder="1"/>
    <xf numFmtId="0" fontId="90" fillId="0" borderId="61" xfId="137" applyFont="1" applyFill="1" applyBorder="1" applyAlignment="1">
      <alignment horizontal="left"/>
    </xf>
    <xf numFmtId="0" fontId="90" fillId="0" borderId="62" xfId="137" applyFont="1" applyFill="1" applyBorder="1" applyAlignment="1">
      <alignment horizontal="left"/>
    </xf>
    <xf numFmtId="0" fontId="22" fillId="27" borderId="40" xfId="137" applyFill="1" applyBorder="1"/>
    <xf numFmtId="0" fontId="22" fillId="27" borderId="43" xfId="137" applyFill="1" applyBorder="1"/>
    <xf numFmtId="0" fontId="90" fillId="0" borderId="42" xfId="137" applyFont="1" applyFill="1" applyBorder="1" applyAlignment="1">
      <alignment horizontal="left"/>
    </xf>
    <xf numFmtId="0" fontId="90" fillId="0" borderId="43" xfId="137" applyFont="1" applyFill="1" applyBorder="1" applyAlignment="1">
      <alignment horizontal="left"/>
    </xf>
    <xf numFmtId="43" fontId="90" fillId="0" borderId="42" xfId="82" applyFont="1" applyFill="1" applyBorder="1"/>
    <xf numFmtId="0" fontId="90" fillId="0" borderId="114" xfId="137" applyFont="1" applyFill="1" applyBorder="1" applyAlignment="1">
      <alignment horizontal="left"/>
    </xf>
    <xf numFmtId="43" fontId="95" fillId="29" borderId="18" xfId="82" applyFont="1" applyFill="1" applyBorder="1"/>
    <xf numFmtId="165" fontId="90" fillId="0" borderId="121" xfId="137" applyNumberFormat="1" applyFont="1" applyFill="1" applyBorder="1" applyAlignment="1">
      <alignment horizontal="center"/>
    </xf>
    <xf numFmtId="165" fontId="90" fillId="31" borderId="90" xfId="137" applyNumberFormat="1" applyFont="1" applyFill="1" applyBorder="1" applyAlignment="1">
      <alignment horizontal="center"/>
    </xf>
    <xf numFmtId="0" fontId="90" fillId="0" borderId="44" xfId="137" applyFont="1" applyFill="1" applyBorder="1" applyAlignment="1">
      <alignment horizontal="center"/>
    </xf>
    <xf numFmtId="0" fontId="90" fillId="31" borderId="41" xfId="137" applyFont="1" applyFill="1" applyBorder="1" applyAlignment="1">
      <alignment horizontal="center"/>
    </xf>
    <xf numFmtId="0" fontId="90" fillId="0" borderId="63" xfId="137" applyFont="1" applyFill="1" applyBorder="1" applyAlignment="1">
      <alignment horizontal="left"/>
    </xf>
    <xf numFmtId="0" fontId="90" fillId="0" borderId="63" xfId="137" applyFont="1" applyFill="1" applyBorder="1" applyAlignment="1">
      <alignment horizontal="center"/>
    </xf>
    <xf numFmtId="0" fontId="93" fillId="0" borderId="54" xfId="137" applyFont="1" applyFill="1" applyBorder="1"/>
    <xf numFmtId="0" fontId="22" fillId="0" borderId="55" xfId="137" applyFill="1" applyBorder="1"/>
    <xf numFmtId="0" fontId="22" fillId="0" borderId="56" xfId="137" applyFill="1" applyBorder="1"/>
    <xf numFmtId="0" fontId="90" fillId="0" borderId="44" xfId="137" applyFont="1" applyFill="1" applyBorder="1" applyAlignment="1">
      <alignment horizontal="left"/>
    </xf>
    <xf numFmtId="0" fontId="93" fillId="0" borderId="37" xfId="137" applyFont="1" applyFill="1" applyBorder="1" applyAlignment="1">
      <alignment horizontal="left"/>
    </xf>
    <xf numFmtId="0" fontId="95" fillId="0" borderId="45" xfId="137" applyFont="1" applyFill="1" applyBorder="1" applyAlignment="1">
      <alignment horizontal="center"/>
    </xf>
    <xf numFmtId="0" fontId="95" fillId="0" borderId="42" xfId="137" applyFont="1" applyFill="1" applyBorder="1" applyAlignment="1">
      <alignment horizontal="left"/>
    </xf>
    <xf numFmtId="165" fontId="106" fillId="0" borderId="86" xfId="137" applyNumberFormat="1" applyFont="1" applyFill="1" applyBorder="1" applyAlignment="1">
      <alignment horizontal="center"/>
    </xf>
    <xf numFmtId="0" fontId="95" fillId="0" borderId="18" xfId="137" applyFont="1" applyFill="1" applyBorder="1"/>
    <xf numFmtId="0" fontId="65" fillId="0" borderId="0" xfId="137" applyFont="1" applyFill="1" applyBorder="1"/>
    <xf numFmtId="43" fontId="106" fillId="0" borderId="68" xfId="82" applyFont="1" applyFill="1" applyBorder="1"/>
    <xf numFmtId="43" fontId="106" fillId="28" borderId="68" xfId="82" applyFont="1" applyFill="1" applyBorder="1"/>
    <xf numFmtId="43" fontId="95" fillId="0" borderId="68" xfId="82" applyFont="1" applyFill="1" applyBorder="1"/>
    <xf numFmtId="43" fontId="95" fillId="0" borderId="18" xfId="82" applyFont="1" applyFill="1" applyBorder="1"/>
    <xf numFmtId="0" fontId="90" fillId="0" borderId="18" xfId="137" applyFont="1" applyFill="1" applyBorder="1"/>
    <xf numFmtId="0" fontId="106" fillId="0" borderId="84" xfId="137" applyFont="1" applyFill="1" applyBorder="1" applyAlignment="1">
      <alignment horizontal="center"/>
    </xf>
    <xf numFmtId="0" fontId="106" fillId="0" borderId="68" xfId="137" applyFont="1" applyFill="1" applyBorder="1" applyAlignment="1">
      <alignment horizontal="center"/>
    </xf>
    <xf numFmtId="4" fontId="99" fillId="0" borderId="57" xfId="0" applyNumberFormat="1" applyFont="1" applyFill="1" applyBorder="1" applyAlignment="1">
      <alignment horizontal="left"/>
    </xf>
    <xf numFmtId="0" fontId="139" fillId="0" borderId="0" xfId="137" applyFont="1" applyFill="1" applyBorder="1"/>
    <xf numFmtId="165" fontId="90" fillId="0" borderId="86" xfId="137" applyNumberFormat="1" applyFont="1" applyFill="1" applyBorder="1" applyAlignment="1">
      <alignment horizontal="center"/>
    </xf>
    <xf numFmtId="43" fontId="93" fillId="0" borderId="18" xfId="82" applyFont="1" applyFill="1" applyBorder="1"/>
    <xf numFmtId="0" fontId="139" fillId="0" borderId="0" xfId="137" applyFont="1" applyFill="1"/>
    <xf numFmtId="0" fontId="93" fillId="0" borderId="18" xfId="137" applyFont="1" applyFill="1" applyBorder="1" applyAlignment="1">
      <alignment horizontal="center"/>
    </xf>
    <xf numFmtId="0" fontId="93" fillId="0" borderId="19" xfId="137" applyFont="1" applyFill="1" applyBorder="1" applyAlignment="1"/>
    <xf numFmtId="0" fontId="93" fillId="0" borderId="68" xfId="137" applyFont="1" applyFill="1" applyBorder="1" applyAlignment="1">
      <alignment horizontal="center"/>
    </xf>
    <xf numFmtId="43" fontId="93" fillId="28" borderId="68" xfId="82" applyFont="1" applyFill="1" applyBorder="1"/>
    <xf numFmtId="0" fontId="95" fillId="0" borderId="18" xfId="137" applyFont="1" applyFill="1" applyBorder="1" applyAlignment="1">
      <alignment horizontal="center"/>
    </xf>
    <xf numFmtId="0" fontId="85" fillId="0" borderId="122" xfId="0" applyFont="1" applyFill="1" applyBorder="1"/>
    <xf numFmtId="43" fontId="113" fillId="0" borderId="123" xfId="82" applyFont="1" applyFill="1" applyBorder="1" applyAlignment="1">
      <alignment horizontal="center"/>
    </xf>
    <xf numFmtId="43" fontId="115" fillId="0" borderId="123" xfId="82" applyFont="1" applyFill="1" applyBorder="1" applyAlignment="1">
      <alignment horizontal="center"/>
    </xf>
    <xf numFmtId="43" fontId="111" fillId="0" borderId="123" xfId="82" applyFont="1" applyFill="1" applyBorder="1"/>
    <xf numFmtId="43" fontId="113" fillId="29" borderId="123" xfId="82" applyFont="1" applyFill="1" applyBorder="1" applyAlignment="1">
      <alignment horizontal="center"/>
    </xf>
    <xf numFmtId="43" fontId="115" fillId="29" borderId="123" xfId="82" applyFont="1" applyFill="1" applyBorder="1" applyAlignment="1">
      <alignment horizontal="center"/>
    </xf>
    <xf numFmtId="43" fontId="111" fillId="0" borderId="123" xfId="82" applyFont="1" applyFill="1" applyBorder="1" applyAlignment="1">
      <alignment horizontal="center"/>
    </xf>
    <xf numFmtId="43" fontId="116" fillId="0" borderId="123" xfId="82" applyFont="1" applyFill="1" applyBorder="1" applyAlignment="1">
      <alignment horizontal="center"/>
    </xf>
    <xf numFmtId="43" fontId="115" fillId="0" borderId="123" xfId="82" applyFont="1" applyFill="1" applyBorder="1"/>
    <xf numFmtId="43" fontId="108" fillId="0" borderId="123" xfId="82" applyFont="1" applyFill="1" applyBorder="1" applyAlignment="1">
      <alignment horizontal="center"/>
    </xf>
    <xf numFmtId="43" fontId="111" fillId="0" borderId="124" xfId="82" applyFont="1" applyFill="1" applyBorder="1" applyAlignment="1">
      <alignment horizontal="center"/>
    </xf>
    <xf numFmtId="43" fontId="115" fillId="0" borderId="125" xfId="0" applyNumberFormat="1" applyFont="1" applyFill="1" applyBorder="1" applyAlignment="1"/>
    <xf numFmtId="0" fontId="93" fillId="0" borderId="90" xfId="137" applyFont="1" applyFill="1" applyBorder="1"/>
    <xf numFmtId="4" fontId="0" fillId="33" borderId="0" xfId="0" applyNumberFormat="1" applyFill="1"/>
    <xf numFmtId="0" fontId="91" fillId="29" borderId="0" xfId="137" applyFont="1" applyFill="1"/>
    <xf numFmtId="0" fontId="118" fillId="29" borderId="0" xfId="137" applyFont="1" applyFill="1" applyAlignment="1">
      <alignment horizontal="center"/>
    </xf>
    <xf numFmtId="4" fontId="99" fillId="0" borderId="50" xfId="0" applyNumberFormat="1" applyFont="1" applyFill="1" applyBorder="1" applyAlignment="1"/>
    <xf numFmtId="4" fontId="99" fillId="0" borderId="49" xfId="0" applyNumberFormat="1" applyFont="1" applyFill="1" applyBorder="1" applyAlignment="1"/>
    <xf numFmtId="2" fontId="140" fillId="0" borderId="0" xfId="0" applyNumberFormat="1" applyFont="1"/>
    <xf numFmtId="2" fontId="142" fillId="0" borderId="127" xfId="118" applyNumberFormat="1" applyFont="1" applyFill="1" applyBorder="1"/>
    <xf numFmtId="2" fontId="144" fillId="0" borderId="0" xfId="159" applyNumberFormat="1" applyFont="1" applyFill="1" applyBorder="1" applyAlignment="1" applyProtection="1">
      <alignment horizontal="center"/>
    </xf>
    <xf numFmtId="2" fontId="142" fillId="0" borderId="0" xfId="118" applyNumberFormat="1" applyFont="1" applyFill="1" applyBorder="1" applyAlignment="1">
      <alignment horizontal="center"/>
    </xf>
    <xf numFmtId="2" fontId="65" fillId="0" borderId="0" xfId="118" applyNumberFormat="1" applyFont="1" applyFill="1" applyBorder="1" applyAlignment="1">
      <alignment horizontal="center"/>
    </xf>
    <xf numFmtId="2" fontId="141" fillId="0" borderId="0" xfId="118" applyNumberFormat="1" applyFont="1" applyFill="1" applyBorder="1" applyAlignment="1">
      <alignment horizontal="center"/>
    </xf>
    <xf numFmtId="2" fontId="141" fillId="0" borderId="127" xfId="118" applyNumberFormat="1" applyFont="1" applyFill="1" applyBorder="1"/>
    <xf numFmtId="2" fontId="145" fillId="0" borderId="0" xfId="159" applyNumberFormat="1" applyFont="1" applyFill="1" applyBorder="1" applyAlignment="1" applyProtection="1">
      <alignment horizontal="center"/>
    </xf>
    <xf numFmtId="2" fontId="141" fillId="0" borderId="131" xfId="118" applyNumberFormat="1" applyFont="1" applyFill="1" applyBorder="1"/>
    <xf numFmtId="2" fontId="145" fillId="0" borderId="132" xfId="159" applyNumberFormat="1" applyFont="1" applyFill="1" applyBorder="1" applyAlignment="1" applyProtection="1">
      <alignment horizontal="center"/>
    </xf>
    <xf numFmtId="2" fontId="141" fillId="0" borderId="132" xfId="118" applyNumberFormat="1" applyFont="1" applyFill="1" applyBorder="1" applyAlignment="1">
      <alignment horizontal="center"/>
    </xf>
    <xf numFmtId="2" fontId="141" fillId="0" borderId="132" xfId="118" applyNumberFormat="1" applyFont="1" applyFill="1" applyBorder="1" applyAlignment="1">
      <alignment horizontal="left"/>
    </xf>
    <xf numFmtId="2" fontId="141" fillId="0" borderId="133" xfId="118" applyNumberFormat="1" applyFont="1" applyFill="1" applyBorder="1" applyAlignment="1">
      <alignment horizontal="center"/>
    </xf>
    <xf numFmtId="2" fontId="141" fillId="0" borderId="57" xfId="118" applyNumberFormat="1" applyFont="1" applyFill="1" applyBorder="1" applyAlignment="1">
      <alignment horizontal="center"/>
    </xf>
    <xf numFmtId="2" fontId="141" fillId="0" borderId="37" xfId="118" applyNumberFormat="1" applyFont="1" applyFill="1" applyBorder="1" applyAlignment="1">
      <alignment horizontal="center"/>
    </xf>
    <xf numFmtId="2" fontId="140" fillId="0" borderId="37" xfId="0" applyNumberFormat="1" applyFont="1" applyFill="1" applyBorder="1"/>
    <xf numFmtId="2" fontId="141" fillId="0" borderId="134" xfId="118" applyNumberFormat="1" applyFont="1" applyFill="1" applyBorder="1" applyAlignment="1">
      <alignment horizontal="center"/>
    </xf>
    <xf numFmtId="2" fontId="146" fillId="0" borderId="37" xfId="118" applyNumberFormat="1" applyFont="1" applyFill="1" applyBorder="1" applyAlignment="1">
      <alignment horizontal="center"/>
    </xf>
    <xf numFmtId="2" fontId="142" fillId="0" borderId="37" xfId="118" applyNumberFormat="1" applyFont="1" applyFill="1" applyBorder="1" applyAlignment="1">
      <alignment horizontal="left" vertical="center"/>
    </xf>
    <xf numFmtId="2" fontId="147" fillId="0" borderId="37" xfId="118" applyNumberFormat="1" applyFont="1" applyFill="1" applyBorder="1" applyAlignment="1">
      <alignment horizontal="center"/>
    </xf>
    <xf numFmtId="2" fontId="142" fillId="0" borderId="57" xfId="118" applyNumberFormat="1" applyFont="1" applyFill="1" applyBorder="1" applyAlignment="1">
      <alignment horizontal="left" vertical="center"/>
    </xf>
    <xf numFmtId="2" fontId="148" fillId="0" borderId="61" xfId="118" applyNumberFormat="1" applyFont="1" applyFill="1" applyBorder="1" applyAlignment="1">
      <alignment horizontal="center"/>
    </xf>
    <xf numFmtId="2" fontId="140" fillId="0" borderId="135" xfId="0" applyNumberFormat="1" applyFont="1" applyFill="1" applyBorder="1"/>
    <xf numFmtId="2" fontId="149" fillId="0" borderId="61" xfId="118" applyNumberFormat="1" applyFont="1" applyFill="1" applyBorder="1" applyAlignment="1">
      <alignment horizontal="center"/>
    </xf>
    <xf numFmtId="1" fontId="142" fillId="0" borderId="139" xfId="118" applyNumberFormat="1" applyFont="1" applyFill="1" applyBorder="1" applyAlignment="1">
      <alignment horizontal="center" shrinkToFit="1"/>
    </xf>
    <xf numFmtId="1" fontId="142" fillId="0" borderId="140" xfId="118" applyNumberFormat="1" applyFont="1" applyFill="1" applyBorder="1" applyAlignment="1">
      <alignment horizontal="center" shrinkToFit="1"/>
    </xf>
    <xf numFmtId="2" fontId="65" fillId="0" borderId="141" xfId="118" applyNumberFormat="1" applyFont="1" applyFill="1" applyBorder="1" applyAlignment="1">
      <alignment shrinkToFit="1"/>
    </xf>
    <xf numFmtId="2" fontId="142" fillId="0" borderId="142" xfId="118" applyNumberFormat="1" applyFont="1" applyFill="1" applyBorder="1" applyAlignment="1">
      <alignment vertical="center" shrinkToFit="1"/>
    </xf>
    <xf numFmtId="2" fontId="142" fillId="0" borderId="145" xfId="118" applyNumberFormat="1" applyFont="1" applyFill="1" applyBorder="1" applyAlignment="1">
      <alignment vertical="center" shrinkToFit="1"/>
    </xf>
    <xf numFmtId="2" fontId="65" fillId="0" borderId="149" xfId="118" applyNumberFormat="1" applyFont="1" applyFill="1" applyBorder="1" applyAlignment="1">
      <alignment horizontal="left" shrinkToFit="1"/>
    </xf>
    <xf numFmtId="2" fontId="142" fillId="0" borderId="150" xfId="118" applyNumberFormat="1" applyFont="1" applyFill="1" applyBorder="1" applyAlignment="1">
      <alignment horizontal="center" vertical="center" shrinkToFit="1"/>
    </xf>
    <xf numFmtId="2" fontId="142" fillId="0" borderId="153" xfId="118" applyNumberFormat="1" applyFont="1" applyFill="1" applyBorder="1" applyAlignment="1">
      <alignment vertical="center" wrapText="1" shrinkToFit="1"/>
    </xf>
    <xf numFmtId="2" fontId="140" fillId="0" borderId="0" xfId="0" applyNumberFormat="1" applyFont="1" applyBorder="1"/>
    <xf numFmtId="2" fontId="151" fillId="0" borderId="0" xfId="0" applyNumberFormat="1" applyFont="1" applyFill="1" applyBorder="1" applyAlignment="1">
      <alignment vertical="center"/>
    </xf>
    <xf numFmtId="2" fontId="114" fillId="0" borderId="0" xfId="0" applyNumberFormat="1" applyFont="1" applyFill="1" applyBorder="1" applyAlignment="1">
      <alignment vertical="center"/>
    </xf>
    <xf numFmtId="2" fontId="140" fillId="0" borderId="0" xfId="0" applyNumberFormat="1" applyFont="1" applyFill="1" applyBorder="1" applyAlignment="1">
      <alignment vertical="center"/>
    </xf>
    <xf numFmtId="2" fontId="152" fillId="0" borderId="0" xfId="0" applyNumberFormat="1" applyFont="1" applyFill="1" applyBorder="1" applyAlignment="1">
      <alignment vertical="center"/>
    </xf>
    <xf numFmtId="43" fontId="65" fillId="0" borderId="0" xfId="137" applyNumberFormat="1" applyFont="1" applyFill="1"/>
    <xf numFmtId="4" fontId="99" fillId="0" borderId="0" xfId="0" applyNumberFormat="1" applyFont="1" applyFill="1" applyBorder="1" applyAlignment="1">
      <alignment horizontal="left"/>
    </xf>
    <xf numFmtId="4" fontId="99" fillId="0" borderId="19" xfId="0" applyNumberFormat="1" applyFont="1" applyFill="1" applyBorder="1" applyAlignment="1">
      <alignment horizontal="left"/>
    </xf>
    <xf numFmtId="4" fontId="102" fillId="0" borderId="0" xfId="0" applyNumberFormat="1" applyFont="1" applyFill="1" applyBorder="1" applyAlignment="1">
      <alignment horizontal="center"/>
    </xf>
    <xf numFmtId="4" fontId="102" fillId="0" borderId="19" xfId="0" applyNumberFormat="1" applyFont="1" applyFill="1" applyBorder="1" applyAlignment="1">
      <alignment horizontal="center"/>
    </xf>
    <xf numFmtId="4" fontId="102" fillId="0" borderId="0" xfId="0" applyNumberFormat="1" applyFont="1" applyFill="1" applyBorder="1" applyAlignment="1">
      <alignment horizontal="left"/>
    </xf>
    <xf numFmtId="4" fontId="61" fillId="0" borderId="18" xfId="137" applyNumberFormat="1" applyFont="1" applyFill="1" applyBorder="1" applyAlignment="1">
      <alignment horizontal="center"/>
    </xf>
    <xf numFmtId="2" fontId="142" fillId="0" borderId="150" xfId="118" applyNumberFormat="1" applyFont="1" applyFill="1" applyBorder="1" applyAlignment="1">
      <alignment horizontal="center" vertical="center" shrinkToFit="1"/>
    </xf>
    <xf numFmtId="2" fontId="141" fillId="0" borderId="126" xfId="118" applyNumberFormat="1" applyFont="1" applyFill="1" applyBorder="1" applyAlignment="1">
      <alignment horizontal="center"/>
    </xf>
    <xf numFmtId="2" fontId="140" fillId="0" borderId="40" xfId="0" applyNumberFormat="1" applyFont="1" applyFill="1" applyBorder="1" applyAlignment="1">
      <alignment horizontal="center"/>
    </xf>
    <xf numFmtId="4" fontId="99" fillId="0" borderId="0" xfId="0" applyNumberFormat="1" applyFont="1" applyFill="1" applyBorder="1" applyAlignment="1">
      <alignment horizontal="left"/>
    </xf>
    <xf numFmtId="4" fontId="99" fillId="0" borderId="19" xfId="0" applyNumberFormat="1" applyFont="1" applyFill="1" applyBorder="1" applyAlignment="1">
      <alignment horizontal="left"/>
    </xf>
    <xf numFmtId="4" fontId="99" fillId="0" borderId="0" xfId="0" applyNumberFormat="1" applyFont="1" applyFill="1" applyBorder="1" applyAlignment="1">
      <alignment horizontal="center"/>
    </xf>
    <xf numFmtId="4" fontId="99" fillId="0" borderId="19" xfId="0" applyNumberFormat="1" applyFont="1" applyFill="1" applyBorder="1" applyAlignment="1">
      <alignment horizontal="center"/>
    </xf>
    <xf numFmtId="4" fontId="102" fillId="0" borderId="0" xfId="0" applyNumberFormat="1" applyFont="1" applyFill="1" applyBorder="1" applyAlignment="1">
      <alignment horizontal="left"/>
    </xf>
    <xf numFmtId="4" fontId="102" fillId="0" borderId="19" xfId="0" applyNumberFormat="1" applyFont="1" applyFill="1" applyBorder="1" applyAlignment="1">
      <alignment horizontal="left"/>
    </xf>
    <xf numFmtId="4" fontId="43" fillId="0" borderId="0" xfId="137" applyNumberFormat="1" applyFont="1" applyFill="1" applyBorder="1" applyAlignment="1">
      <alignment horizontal="center"/>
    </xf>
    <xf numFmtId="4" fontId="43" fillId="0" borderId="18" xfId="137" applyNumberFormat="1" applyFont="1" applyFill="1" applyBorder="1" applyAlignment="1">
      <alignment horizontal="center"/>
    </xf>
    <xf numFmtId="4" fontId="61" fillId="0" borderId="18" xfId="137" applyNumberFormat="1" applyFont="1" applyFill="1" applyBorder="1" applyAlignment="1">
      <alignment horizontal="center"/>
    </xf>
    <xf numFmtId="2" fontId="154" fillId="0" borderId="61" xfId="118" applyNumberFormat="1" applyFont="1" applyFill="1" applyBorder="1" applyAlignment="1">
      <alignment horizontal="center"/>
    </xf>
    <xf numFmtId="2" fontId="140" fillId="0" borderId="154" xfId="0" applyNumberFormat="1" applyFont="1" applyFill="1" applyBorder="1" applyAlignment="1"/>
    <xf numFmtId="2" fontId="140" fillId="0" borderId="41" xfId="0" applyNumberFormat="1" applyFont="1" applyFill="1" applyBorder="1" applyAlignment="1"/>
    <xf numFmtId="4" fontId="102" fillId="0" borderId="19" xfId="0" applyNumberFormat="1" applyFont="1" applyFill="1" applyBorder="1"/>
    <xf numFmtId="4" fontId="98" fillId="26" borderId="14" xfId="0" applyNumberFormat="1" applyFont="1" applyFill="1" applyBorder="1" applyAlignment="1">
      <alignment vertical="top"/>
    </xf>
    <xf numFmtId="0" fontId="90" fillId="0" borderId="0" xfId="137" applyFont="1" applyFill="1" applyBorder="1" applyAlignment="1">
      <alignment horizontal="center"/>
    </xf>
    <xf numFmtId="2" fontId="141" fillId="0" borderId="126" xfId="118" applyNumberFormat="1" applyFont="1" applyFill="1" applyBorder="1" applyAlignment="1">
      <alignment horizontal="center"/>
    </xf>
    <xf numFmtId="2" fontId="142" fillId="0" borderId="150" xfId="118" applyNumberFormat="1" applyFont="1" applyFill="1" applyBorder="1" applyAlignment="1">
      <alignment horizontal="center" vertical="center" shrinkToFit="1"/>
    </xf>
    <xf numFmtId="0" fontId="65" fillId="0" borderId="0" xfId="137" applyFont="1" applyFill="1"/>
    <xf numFmtId="4" fontId="102" fillId="0" borderId="15" xfId="0" applyNumberFormat="1" applyFont="1" applyFill="1" applyBorder="1"/>
    <xf numFmtId="4" fontId="98" fillId="26" borderId="162" xfId="0" applyNumberFormat="1" applyFont="1" applyFill="1" applyBorder="1" applyAlignment="1">
      <alignment vertical="center"/>
    </xf>
    <xf numFmtId="4" fontId="99" fillId="26" borderId="161" xfId="0" applyNumberFormat="1" applyFont="1" applyFill="1" applyBorder="1"/>
    <xf numFmtId="4" fontId="98" fillId="26" borderId="162" xfId="0" applyNumberFormat="1" applyFont="1" applyFill="1" applyBorder="1" applyAlignment="1">
      <alignment vertical="top"/>
    </xf>
    <xf numFmtId="4" fontId="99" fillId="26" borderId="131" xfId="0" applyNumberFormat="1" applyFont="1" applyFill="1" applyBorder="1"/>
    <xf numFmtId="4" fontId="122" fillId="0" borderId="163" xfId="0" applyNumberFormat="1" applyFont="1" applyFill="1" applyBorder="1" applyAlignment="1">
      <alignment vertical="center"/>
    </xf>
    <xf numFmtId="4" fontId="102" fillId="0" borderId="164" xfId="0" applyNumberFormat="1" applyFont="1" applyFill="1" applyBorder="1" applyAlignment="1"/>
    <xf numFmtId="4" fontId="101" fillId="0" borderId="165" xfId="0" applyNumberFormat="1" applyFont="1" applyFill="1" applyBorder="1" applyAlignment="1">
      <alignment vertical="center"/>
    </xf>
    <xf numFmtId="4" fontId="99" fillId="0" borderId="166" xfId="0" applyNumberFormat="1" applyFont="1" applyFill="1" applyBorder="1"/>
    <xf numFmtId="4" fontId="100" fillId="0" borderId="167" xfId="0" applyNumberFormat="1" applyFont="1" applyFill="1" applyBorder="1" applyAlignment="1">
      <alignment vertical="center"/>
    </xf>
    <xf numFmtId="4" fontId="99" fillId="0" borderId="164" xfId="0" applyNumberFormat="1" applyFont="1" applyFill="1" applyBorder="1"/>
    <xf numFmtId="4" fontId="99" fillId="0" borderId="168" xfId="0" applyNumberFormat="1" applyFont="1" applyFill="1" applyBorder="1"/>
    <xf numFmtId="4" fontId="99" fillId="0" borderId="127" xfId="0" applyNumberFormat="1" applyFont="1" applyFill="1" applyBorder="1"/>
    <xf numFmtId="4" fontId="101" fillId="0" borderId="165" xfId="0" applyNumberFormat="1" applyFont="1" applyFill="1" applyBorder="1" applyAlignment="1">
      <alignment vertical="top"/>
    </xf>
    <xf numFmtId="4" fontId="66" fillId="24" borderId="169" xfId="139" applyNumberFormat="1" applyFont="1" applyFill="1" applyBorder="1" applyAlignment="1">
      <alignment vertical="top"/>
    </xf>
    <xf numFmtId="4" fontId="43" fillId="0" borderId="168" xfId="137" applyNumberFormat="1" applyFont="1" applyFill="1" applyBorder="1"/>
    <xf numFmtId="4" fontId="99" fillId="0" borderId="168" xfId="0" applyNumberFormat="1" applyFont="1" applyFill="1" applyBorder="1" applyAlignment="1">
      <alignment vertical="top" wrapText="1"/>
    </xf>
    <xf numFmtId="4" fontId="61" fillId="0" borderId="168" xfId="137" applyNumberFormat="1" applyFont="1" applyFill="1" applyBorder="1"/>
    <xf numFmtId="4" fontId="99" fillId="0" borderId="170" xfId="0" applyNumberFormat="1" applyFont="1" applyFill="1" applyBorder="1"/>
    <xf numFmtId="4" fontId="99" fillId="0" borderId="171" xfId="0" applyNumberFormat="1" applyFont="1" applyFill="1" applyBorder="1"/>
    <xf numFmtId="4" fontId="102" fillId="0" borderId="172" xfId="0" applyNumberFormat="1" applyFont="1" applyFill="1" applyBorder="1"/>
    <xf numFmtId="4" fontId="99" fillId="0" borderId="173" xfId="0" applyNumberFormat="1" applyFont="1" applyFill="1" applyBorder="1"/>
    <xf numFmtId="4" fontId="102" fillId="0" borderId="174" xfId="0" applyNumberFormat="1" applyFont="1" applyFill="1" applyBorder="1"/>
    <xf numFmtId="4" fontId="99" fillId="0" borderId="175" xfId="0" applyNumberFormat="1" applyFont="1" applyFill="1" applyBorder="1"/>
    <xf numFmtId="4" fontId="99" fillId="0" borderId="176" xfId="0" applyNumberFormat="1" applyFont="1" applyFill="1" applyBorder="1"/>
    <xf numFmtId="4" fontId="99" fillId="0" borderId="177" xfId="0" applyNumberFormat="1" applyFont="1" applyFill="1" applyBorder="1"/>
    <xf numFmtId="4" fontId="99" fillId="0" borderId="178" xfId="0" applyNumberFormat="1" applyFont="1" applyFill="1" applyBorder="1"/>
    <xf numFmtId="4" fontId="60" fillId="0" borderId="168" xfId="137" applyNumberFormat="1" applyFont="1" applyFill="1" applyBorder="1" applyAlignment="1">
      <alignment horizontal="left" wrapText="1"/>
    </xf>
    <xf numFmtId="4" fontId="99" fillId="0" borderId="168" xfId="0" applyNumberFormat="1" applyFont="1" applyFill="1" applyBorder="1" applyAlignment="1">
      <alignment horizontal="right" wrapText="1"/>
    </xf>
    <xf numFmtId="4" fontId="99" fillId="0" borderId="168" xfId="0" applyNumberFormat="1" applyFont="1" applyFill="1" applyBorder="1" applyAlignment="1">
      <alignment wrapText="1"/>
    </xf>
    <xf numFmtId="4" fontId="43" fillId="0" borderId="168" xfId="137" applyNumberFormat="1" applyFont="1" applyFill="1" applyBorder="1" applyAlignment="1">
      <alignment horizontal="right"/>
    </xf>
    <xf numFmtId="4" fontId="61" fillId="0" borderId="168" xfId="137" applyNumberFormat="1" applyFont="1" applyFill="1" applyBorder="1" applyAlignment="1">
      <alignment horizontal="right"/>
    </xf>
    <xf numFmtId="4" fontId="99" fillId="0" borderId="179" xfId="0" applyNumberFormat="1" applyFont="1" applyFill="1" applyBorder="1"/>
    <xf numFmtId="4" fontId="99" fillId="0" borderId="180" xfId="0" applyNumberFormat="1" applyFont="1" applyFill="1" applyBorder="1"/>
    <xf numFmtId="4" fontId="99" fillId="0" borderId="172" xfId="0" applyNumberFormat="1" applyFont="1" applyFill="1" applyBorder="1"/>
    <xf numFmtId="0" fontId="67" fillId="24" borderId="42" xfId="0" applyFont="1" applyFill="1" applyBorder="1" applyAlignment="1">
      <alignment horizontal="left" vertical="top" wrapText="1"/>
    </xf>
    <xf numFmtId="0" fontId="67" fillId="24" borderId="43" xfId="0" applyFont="1" applyFill="1" applyBorder="1" applyAlignment="1">
      <alignment horizontal="left" vertical="top" wrapText="1"/>
    </xf>
    <xf numFmtId="0" fontId="67" fillId="24" borderId="44" xfId="0" applyFont="1" applyFill="1" applyBorder="1" applyAlignment="1">
      <alignment horizontal="left" vertical="top" wrapText="1"/>
    </xf>
    <xf numFmtId="0" fontId="93" fillId="0" borderId="65" xfId="137" applyFont="1" applyFill="1" applyBorder="1" applyAlignment="1">
      <alignment horizontal="center"/>
    </xf>
    <xf numFmtId="4" fontId="101" fillId="26" borderId="162" xfId="0" applyNumberFormat="1" applyFont="1" applyFill="1" applyBorder="1" applyAlignment="1">
      <alignment vertical="center"/>
    </xf>
    <xf numFmtId="4" fontId="101" fillId="26" borderId="162" xfId="0" applyNumberFormat="1" applyFont="1" applyFill="1" applyBorder="1" applyAlignment="1">
      <alignment vertical="top"/>
    </xf>
    <xf numFmtId="4" fontId="123" fillId="0" borderId="163" xfId="0" applyNumberFormat="1" applyFont="1" applyFill="1" applyBorder="1" applyAlignment="1">
      <alignment vertical="center"/>
    </xf>
    <xf numFmtId="4" fontId="101" fillId="0" borderId="181" xfId="0" applyNumberFormat="1" applyFont="1" applyFill="1" applyBorder="1" applyAlignment="1">
      <alignment vertical="top"/>
    </xf>
    <xf numFmtId="4" fontId="99" fillId="0" borderId="165" xfId="0" applyNumberFormat="1" applyFont="1" applyBorder="1"/>
    <xf numFmtId="4" fontId="67" fillId="24" borderId="169" xfId="139" applyNumberFormat="1" applyFont="1" applyFill="1" applyBorder="1" applyAlignment="1">
      <alignment vertical="top"/>
    </xf>
    <xf numFmtId="0" fontId="9" fillId="0" borderId="0" xfId="137" applyFont="1" applyFill="1" applyBorder="1"/>
    <xf numFmtId="4" fontId="99" fillId="0" borderId="17" xfId="0" applyNumberFormat="1" applyFont="1" applyBorder="1"/>
    <xf numFmtId="4" fontId="61" fillId="0" borderId="0" xfId="137" applyNumberFormat="1" applyFont="1" applyFill="1" applyBorder="1" applyAlignment="1">
      <alignment vertical="center" wrapText="1"/>
    </xf>
    <xf numFmtId="4" fontId="61" fillId="0" borderId="19" xfId="137" applyNumberFormat="1" applyFont="1" applyFill="1" applyBorder="1" applyAlignment="1">
      <alignment vertical="center" wrapText="1"/>
    </xf>
    <xf numFmtId="4" fontId="121" fillId="0" borderId="163" xfId="0" applyNumberFormat="1" applyFont="1" applyFill="1" applyBorder="1" applyAlignment="1">
      <alignment vertical="center"/>
    </xf>
    <xf numFmtId="0" fontId="93" fillId="0" borderId="168" xfId="137" applyFont="1" applyFill="1" applyBorder="1" applyAlignment="1"/>
    <xf numFmtId="4" fontId="99" fillId="0" borderId="168" xfId="0" applyNumberFormat="1" applyFont="1" applyBorder="1"/>
    <xf numFmtId="4" fontId="99" fillId="0" borderId="127" xfId="0" applyNumberFormat="1" applyFont="1" applyBorder="1"/>
    <xf numFmtId="0" fontId="93" fillId="0" borderId="168" xfId="137" applyFont="1" applyFill="1" applyBorder="1" applyAlignment="1">
      <alignment horizontal="left"/>
    </xf>
    <xf numFmtId="4" fontId="99" fillId="0" borderId="167" xfId="0" applyNumberFormat="1" applyFont="1" applyBorder="1"/>
    <xf numFmtId="4" fontId="99" fillId="0" borderId="164" xfId="0" applyNumberFormat="1" applyFont="1" applyBorder="1"/>
    <xf numFmtId="2" fontId="141" fillId="0" borderId="160" xfId="118" applyNumberFormat="1" applyFont="1" applyFill="1" applyBorder="1" applyAlignment="1">
      <alignment horizontal="left"/>
    </xf>
    <xf numFmtId="2" fontId="141" fillId="0" borderId="168" xfId="118" applyNumberFormat="1" applyFont="1" applyFill="1" applyBorder="1" applyAlignment="1">
      <alignment horizontal="center"/>
    </xf>
    <xf numFmtId="2" fontId="141" fillId="0" borderId="187" xfId="118" applyNumberFormat="1" applyFont="1" applyFill="1" applyBorder="1" applyAlignment="1">
      <alignment horizontal="center"/>
    </xf>
    <xf numFmtId="2" fontId="65" fillId="0" borderId="188" xfId="118" applyNumberFormat="1" applyFont="1" applyFill="1" applyBorder="1" applyAlignment="1">
      <alignment horizontal="center"/>
    </xf>
    <xf numFmtId="2" fontId="142" fillId="0" borderId="188" xfId="118" applyNumberFormat="1" applyFont="1" applyFill="1" applyBorder="1" applyAlignment="1">
      <alignment horizontal="center"/>
    </xf>
    <xf numFmtId="2" fontId="144" fillId="0" borderId="188" xfId="159" applyNumberFormat="1" applyFont="1" applyFill="1" applyBorder="1" applyAlignment="1" applyProtection="1">
      <alignment horizontal="center"/>
    </xf>
    <xf numFmtId="2" fontId="142" fillId="0" borderId="189" xfId="118" applyNumberFormat="1" applyFont="1" applyFill="1" applyBorder="1"/>
    <xf numFmtId="0" fontId="90" fillId="0" borderId="42" xfId="137" applyFont="1" applyFill="1" applyBorder="1" applyAlignment="1"/>
    <xf numFmtId="0" fontId="9" fillId="0" borderId="43" xfId="137" applyFont="1" applyFill="1" applyBorder="1" applyAlignment="1"/>
    <xf numFmtId="0" fontId="9" fillId="0" borderId="44" xfId="137" applyFont="1" applyFill="1" applyBorder="1" applyAlignment="1"/>
    <xf numFmtId="0" fontId="90" fillId="0" borderId="184" xfId="137" applyFont="1" applyFill="1" applyBorder="1" applyAlignment="1">
      <alignment horizontal="center"/>
    </xf>
    <xf numFmtId="0" fontId="90" fillId="0" borderId="190" xfId="137" applyFont="1" applyFill="1" applyBorder="1" applyAlignment="1"/>
    <xf numFmtId="0" fontId="9" fillId="0" borderId="191" xfId="137" applyFont="1" applyFill="1" applyBorder="1" applyAlignment="1"/>
    <xf numFmtId="0" fontId="9" fillId="0" borderId="192" xfId="137" applyFont="1" applyFill="1" applyBorder="1" applyAlignment="1"/>
    <xf numFmtId="0" fontId="90" fillId="0" borderId="185" xfId="137" applyFont="1" applyFill="1" applyBorder="1" applyAlignment="1">
      <alignment horizontal="center"/>
    </xf>
    <xf numFmtId="43" fontId="90" fillId="0" borderId="185" xfId="82" applyFont="1" applyFill="1" applyBorder="1"/>
    <xf numFmtId="43" fontId="90" fillId="28" borderId="185" xfId="82" applyFont="1" applyFill="1" applyBorder="1"/>
    <xf numFmtId="43" fontId="90" fillId="27" borderId="185" xfId="82" applyFont="1" applyFill="1" applyBorder="1"/>
    <xf numFmtId="43" fontId="90" fillId="0" borderId="193" xfId="82" applyFont="1" applyFill="1" applyBorder="1"/>
    <xf numFmtId="0" fontId="90" fillId="0" borderId="134" xfId="137" applyFont="1" applyFill="1" applyBorder="1" applyAlignment="1">
      <alignment horizontal="center"/>
    </xf>
    <xf numFmtId="0" fontId="90" fillId="0" borderId="194" xfId="137" applyFont="1" applyFill="1" applyBorder="1" applyAlignment="1">
      <alignment horizontal="center"/>
    </xf>
    <xf numFmtId="0" fontId="90" fillId="31" borderId="134" xfId="137" applyFont="1" applyFill="1" applyBorder="1" applyAlignment="1">
      <alignment horizontal="center"/>
    </xf>
    <xf numFmtId="0" fontId="67" fillId="24" borderId="169" xfId="0" applyFont="1" applyFill="1" applyBorder="1" applyAlignment="1">
      <alignment horizontal="right" vertical="top"/>
    </xf>
    <xf numFmtId="2" fontId="67" fillId="24" borderId="169" xfId="139" applyNumberFormat="1" applyFont="1" applyFill="1" applyBorder="1" applyAlignment="1">
      <alignment horizontal="right" vertical="top"/>
    </xf>
    <xf numFmtId="2" fontId="77" fillId="24" borderId="169" xfId="139" applyNumberFormat="1" applyFont="1" applyFill="1" applyBorder="1" applyAlignment="1">
      <alignment horizontal="right" vertical="top"/>
    </xf>
    <xf numFmtId="2" fontId="77" fillId="24" borderId="195" xfId="139" applyNumberFormat="1" applyFont="1" applyFill="1" applyBorder="1" applyAlignment="1">
      <alignment horizontal="right" vertical="top"/>
    </xf>
    <xf numFmtId="4" fontId="67" fillId="24" borderId="196" xfId="139" applyNumberFormat="1" applyFont="1" applyFill="1" applyBorder="1" applyAlignment="1">
      <alignment vertical="top"/>
    </xf>
    <xf numFmtId="0" fontId="9" fillId="0" borderId="188" xfId="137" applyFont="1" applyFill="1" applyBorder="1"/>
    <xf numFmtId="0" fontId="9" fillId="0" borderId="197" xfId="137" applyFont="1" applyFill="1" applyBorder="1" applyAlignment="1"/>
    <xf numFmtId="0" fontId="9" fillId="0" borderId="183" xfId="137" applyFont="1" applyFill="1" applyBorder="1" applyAlignment="1"/>
    <xf numFmtId="4" fontId="67" fillId="24" borderId="196" xfId="139" applyNumberFormat="1" applyFont="1" applyFill="1" applyBorder="1" applyAlignment="1">
      <alignment horizontal="center" wrapText="1"/>
    </xf>
    <xf numFmtId="43" fontId="78" fillId="24" borderId="196" xfId="82" applyFont="1" applyFill="1" applyBorder="1" applyAlignment="1"/>
    <xf numFmtId="43" fontId="78" fillId="28" borderId="196" xfId="82" applyFont="1" applyFill="1" applyBorder="1" applyAlignment="1"/>
    <xf numFmtId="43" fontId="90" fillId="0" borderId="156" xfId="82" applyFont="1" applyFill="1" applyBorder="1"/>
    <xf numFmtId="43" fontId="90" fillId="27" borderId="156" xfId="82" applyFont="1" applyFill="1" applyBorder="1"/>
    <xf numFmtId="43" fontId="90" fillId="0" borderId="198" xfId="82" applyFont="1" applyFill="1" applyBorder="1"/>
    <xf numFmtId="43" fontId="93" fillId="27" borderId="185" xfId="82" applyFont="1" applyFill="1" applyBorder="1"/>
    <xf numFmtId="43" fontId="93" fillId="0" borderId="185" xfId="82" applyFont="1" applyFill="1" applyBorder="1"/>
    <xf numFmtId="43" fontId="90" fillId="0" borderId="186" xfId="82" applyFont="1" applyFill="1" applyBorder="1"/>
    <xf numFmtId="43" fontId="90" fillId="0" borderId="199" xfId="82" applyFont="1" applyFill="1" applyBorder="1"/>
    <xf numFmtId="43" fontId="93" fillId="30" borderId="200" xfId="82" applyFont="1" applyFill="1" applyBorder="1"/>
    <xf numFmtId="0" fontId="90" fillId="0" borderId="169" xfId="137" applyFont="1" applyFill="1" applyBorder="1" applyAlignment="1">
      <alignment horizontal="center"/>
    </xf>
    <xf numFmtId="43" fontId="93" fillId="30" borderId="159" xfId="82" applyFont="1" applyFill="1" applyBorder="1"/>
    <xf numFmtId="43" fontId="91" fillId="0" borderId="199" xfId="82" applyFont="1" applyFill="1" applyBorder="1"/>
    <xf numFmtId="0" fontId="22" fillId="0" borderId="187" xfId="137" applyFill="1" applyBorder="1"/>
    <xf numFmtId="4" fontId="67" fillId="24" borderId="196" xfId="141" applyNumberFormat="1" applyFont="1" applyFill="1" applyBorder="1" applyAlignment="1">
      <alignment vertical="top"/>
    </xf>
    <xf numFmtId="43" fontId="78" fillId="24" borderId="196" xfId="83" applyFont="1" applyFill="1" applyBorder="1" applyAlignment="1"/>
    <xf numFmtId="43" fontId="78" fillId="24" borderId="196" xfId="83" applyFont="1" applyFill="1" applyBorder="1" applyAlignment="1">
      <alignment horizontal="center"/>
    </xf>
    <xf numFmtId="43" fontId="90" fillId="0" borderId="155" xfId="82" applyFont="1" applyFill="1" applyBorder="1"/>
    <xf numFmtId="2" fontId="67" fillId="24" borderId="201" xfId="139" applyNumberFormat="1" applyFont="1" applyFill="1" applyBorder="1" applyAlignment="1">
      <alignment horizontal="right" vertical="top"/>
    </xf>
    <xf numFmtId="4" fontId="67" fillId="24" borderId="202" xfId="139" applyNumberFormat="1" applyFont="1" applyFill="1" applyBorder="1" applyAlignment="1">
      <alignment horizontal="center"/>
    </xf>
    <xf numFmtId="43" fontId="90" fillId="0" borderId="202" xfId="82" applyFont="1" applyFill="1" applyBorder="1"/>
    <xf numFmtId="43" fontId="90" fillId="28" borderId="202" xfId="82" applyFont="1" applyFill="1" applyBorder="1"/>
    <xf numFmtId="43" fontId="90" fillId="27" borderId="202" xfId="82" applyFont="1" applyFill="1" applyBorder="1"/>
    <xf numFmtId="0" fontId="22" fillId="28" borderId="0" xfId="137" applyFill="1" applyBorder="1"/>
    <xf numFmtId="2" fontId="66" fillId="24" borderId="169" xfId="139" applyNumberFormat="1" applyFont="1" applyFill="1" applyBorder="1" applyAlignment="1">
      <alignment horizontal="right" vertical="top"/>
    </xf>
    <xf numFmtId="167" fontId="67" fillId="24" borderId="169" xfId="140" applyNumberFormat="1" applyFont="1" applyFill="1" applyBorder="1" applyAlignment="1">
      <alignment horizontal="right" vertical="top"/>
    </xf>
    <xf numFmtId="0" fontId="90" fillId="0" borderId="158" xfId="137" applyFont="1" applyFill="1" applyBorder="1" applyAlignment="1">
      <alignment horizontal="center"/>
    </xf>
    <xf numFmtId="0" fontId="22" fillId="0" borderId="168" xfId="137" applyFill="1" applyBorder="1"/>
    <xf numFmtId="43" fontId="90" fillId="28" borderId="156" xfId="82" applyFont="1" applyFill="1" applyBorder="1"/>
    <xf numFmtId="43" fontId="78" fillId="24" borderId="202" xfId="82" applyFont="1" applyFill="1" applyBorder="1" applyAlignment="1"/>
    <xf numFmtId="0" fontId="22" fillId="28" borderId="132" xfId="137" applyFill="1" applyBorder="1"/>
    <xf numFmtId="2" fontId="67" fillId="24" borderId="169" xfId="140" applyNumberFormat="1" applyFont="1" applyFill="1" applyBorder="1" applyAlignment="1">
      <alignment horizontal="right" vertical="top"/>
    </xf>
    <xf numFmtId="43" fontId="93" fillId="31" borderId="199" xfId="82" applyFont="1" applyFill="1" applyBorder="1"/>
    <xf numFmtId="43" fontId="93" fillId="0" borderId="199" xfId="82" applyFont="1" applyFill="1" applyBorder="1"/>
    <xf numFmtId="0" fontId="90" fillId="0" borderId="157" xfId="137" applyFont="1" applyFill="1" applyBorder="1" applyAlignment="1">
      <alignment horizontal="center"/>
    </xf>
    <xf numFmtId="0" fontId="90" fillId="0" borderId="156" xfId="137" applyFont="1" applyFill="1" applyBorder="1" applyAlignment="1">
      <alignment horizontal="center"/>
    </xf>
    <xf numFmtId="43" fontId="93" fillId="27" borderId="156" xfId="82" applyFont="1" applyFill="1" applyBorder="1"/>
    <xf numFmtId="43" fontId="93" fillId="0" borderId="156" xfId="82" applyFont="1" applyFill="1" applyBorder="1"/>
    <xf numFmtId="2" fontId="66" fillId="24" borderId="201" xfId="139" applyNumberFormat="1" applyFont="1" applyFill="1" applyBorder="1" applyAlignment="1">
      <alignment horizontal="right" vertical="top"/>
    </xf>
    <xf numFmtId="43" fontId="90" fillId="0" borderId="203" xfId="82" applyFont="1" applyFill="1" applyBorder="1"/>
    <xf numFmtId="43" fontId="93" fillId="0" borderId="200" xfId="82" applyFont="1" applyFill="1" applyBorder="1"/>
    <xf numFmtId="0" fontId="90" fillId="0" borderId="135" xfId="137" applyFont="1" applyFill="1" applyBorder="1" applyAlignment="1">
      <alignment horizontal="center"/>
    </xf>
    <xf numFmtId="43" fontId="93" fillId="0" borderId="133" xfId="82" applyFont="1" applyFill="1" applyBorder="1"/>
    <xf numFmtId="0" fontId="90" fillId="27" borderId="134" xfId="137" applyFont="1" applyFill="1" applyBorder="1" applyAlignment="1">
      <alignment horizontal="center"/>
    </xf>
    <xf numFmtId="43" fontId="90" fillId="27" borderId="199" xfId="82" applyFont="1" applyFill="1" applyBorder="1"/>
    <xf numFmtId="0" fontId="90" fillId="0" borderId="154" xfId="0" applyFont="1" applyFill="1" applyBorder="1"/>
    <xf numFmtId="43" fontId="90" fillId="31" borderId="199" xfId="82" applyFont="1" applyFill="1" applyBorder="1"/>
    <xf numFmtId="4" fontId="99" fillId="0" borderId="169" xfId="0" applyNumberFormat="1" applyFont="1" applyFill="1" applyBorder="1"/>
    <xf numFmtId="4" fontId="61" fillId="0" borderId="169" xfId="137" applyNumberFormat="1" applyFont="1" applyFill="1" applyBorder="1" applyAlignment="1">
      <alignment horizontal="center"/>
    </xf>
    <xf numFmtId="4" fontId="99" fillId="0" borderId="169" xfId="0" applyNumberFormat="1" applyFont="1" applyBorder="1"/>
    <xf numFmtId="0" fontId="90" fillId="0" borderId="182" xfId="137" applyFont="1" applyFill="1" applyBorder="1"/>
    <xf numFmtId="0" fontId="90" fillId="0" borderId="197" xfId="137" applyFont="1" applyFill="1" applyBorder="1"/>
    <xf numFmtId="0" fontId="90" fillId="0" borderId="183" xfId="137" applyFont="1" applyFill="1" applyBorder="1"/>
    <xf numFmtId="0" fontId="90" fillId="0" borderId="41" xfId="137" applyFont="1" applyFill="1" applyBorder="1" applyAlignment="1">
      <alignment horizontal="center"/>
    </xf>
    <xf numFmtId="4" fontId="99" fillId="0" borderId="0" xfId="0" applyNumberFormat="1" applyFont="1" applyFill="1" applyBorder="1" applyAlignment="1">
      <alignment horizontal="center"/>
    </xf>
    <xf numFmtId="4" fontId="99" fillId="0" borderId="19" xfId="0" applyNumberFormat="1" applyFont="1" applyFill="1" applyBorder="1" applyAlignment="1">
      <alignment horizontal="center"/>
    </xf>
    <xf numFmtId="4" fontId="43" fillId="0" borderId="0" xfId="137" applyNumberFormat="1" applyFont="1" applyFill="1" applyBorder="1" applyAlignment="1">
      <alignment horizontal="center"/>
    </xf>
    <xf numFmtId="4" fontId="99" fillId="0" borderId="168" xfId="0" applyNumberFormat="1" applyFont="1" applyFill="1" applyBorder="1" applyAlignment="1">
      <alignment horizontal="left" vertical="top" wrapText="1"/>
    </xf>
    <xf numFmtId="4" fontId="99" fillId="0" borderId="0" xfId="0" applyNumberFormat="1" applyFont="1" applyFill="1" applyBorder="1" applyAlignment="1">
      <alignment horizontal="left" vertical="top" wrapText="1"/>
    </xf>
    <xf numFmtId="4" fontId="99" fillId="0" borderId="19" xfId="0" applyNumberFormat="1" applyFont="1" applyFill="1" applyBorder="1" applyAlignment="1">
      <alignment horizontal="left" vertical="top" wrapText="1"/>
    </xf>
    <xf numFmtId="4" fontId="43" fillId="0" borderId="19" xfId="137" applyNumberFormat="1" applyFont="1" applyFill="1" applyBorder="1" applyAlignment="1">
      <alignment horizontal="center"/>
    </xf>
    <xf numFmtId="4" fontId="62" fillId="0" borderId="37" xfId="137" applyNumberFormat="1" applyFont="1" applyFill="1" applyBorder="1" applyAlignment="1">
      <alignment horizontal="center" vertical="center" wrapText="1"/>
    </xf>
    <xf numFmtId="0" fontId="90" fillId="0" borderId="36" xfId="137" applyFont="1" applyFill="1" applyBorder="1" applyAlignment="1">
      <alignment horizontal="center" vertical="top"/>
    </xf>
    <xf numFmtId="0" fontId="90" fillId="0" borderId="0" xfId="137" applyFont="1" applyFill="1" applyBorder="1" applyAlignment="1">
      <alignment horizontal="center"/>
    </xf>
    <xf numFmtId="0" fontId="90" fillId="0" borderId="19" xfId="137" applyFont="1" applyFill="1" applyBorder="1" applyAlignment="1">
      <alignment horizontal="center"/>
    </xf>
    <xf numFmtId="4" fontId="99" fillId="0" borderId="168" xfId="0" applyNumberFormat="1" applyFont="1" applyFill="1" applyBorder="1" applyAlignment="1">
      <alignment horizontal="center" wrapText="1"/>
    </xf>
    <xf numFmtId="4" fontId="99" fillId="0" borderId="0" xfId="0" applyNumberFormat="1" applyFont="1" applyFill="1" applyBorder="1" applyAlignment="1">
      <alignment horizontal="center" wrapText="1"/>
    </xf>
    <xf numFmtId="0" fontId="90" fillId="0" borderId="168" xfId="137" applyFont="1" applyFill="1" applyBorder="1" applyAlignment="1">
      <alignment horizontal="center"/>
    </xf>
    <xf numFmtId="4" fontId="99" fillId="0" borderId="19" xfId="0" applyNumberFormat="1" applyFont="1" applyFill="1" applyBorder="1" applyAlignment="1">
      <alignment horizontal="center" wrapText="1"/>
    </xf>
    <xf numFmtId="4" fontId="98" fillId="26" borderId="204" xfId="0" applyNumberFormat="1" applyFont="1" applyFill="1" applyBorder="1" applyAlignment="1">
      <alignment vertical="top"/>
    </xf>
    <xf numFmtId="4" fontId="102" fillId="0" borderId="205" xfId="0" applyNumberFormat="1" applyFont="1" applyFill="1" applyBorder="1" applyAlignment="1">
      <alignment horizontal="center"/>
    </xf>
    <xf numFmtId="4" fontId="99" fillId="0" borderId="206" xfId="0" applyNumberFormat="1" applyFont="1" applyFill="1" applyBorder="1"/>
    <xf numFmtId="4" fontId="99" fillId="0" borderId="159" xfId="0" applyNumberFormat="1" applyFont="1" applyFill="1" applyBorder="1"/>
    <xf numFmtId="4" fontId="102" fillId="0" borderId="207" xfId="0" applyNumberFormat="1" applyFont="1" applyFill="1" applyBorder="1"/>
    <xf numFmtId="0" fontId="90" fillId="0" borderId="19" xfId="137" applyFont="1" applyFill="1" applyBorder="1" applyAlignment="1"/>
    <xf numFmtId="4" fontId="99" fillId="0" borderId="207" xfId="0" applyNumberFormat="1" applyFont="1" applyFill="1" applyBorder="1"/>
    <xf numFmtId="4" fontId="99" fillId="0" borderId="0" xfId="0" applyNumberFormat="1" applyFont="1" applyFill="1" applyBorder="1" applyAlignment="1">
      <alignment horizontal="center"/>
    </xf>
    <xf numFmtId="4" fontId="99" fillId="0" borderId="19" xfId="0" applyNumberFormat="1" applyFont="1" applyFill="1" applyBorder="1" applyAlignment="1">
      <alignment horizontal="center"/>
    </xf>
    <xf numFmtId="4" fontId="99" fillId="0" borderId="168" xfId="0" applyNumberFormat="1" applyFont="1" applyFill="1" applyBorder="1" applyAlignment="1">
      <alignment horizontal="right" wrapText="1"/>
    </xf>
    <xf numFmtId="4" fontId="43" fillId="0" borderId="0" xfId="137" applyNumberFormat="1" applyFont="1" applyFill="1" applyBorder="1" applyAlignment="1">
      <alignment horizontal="center"/>
    </xf>
    <xf numFmtId="4" fontId="43" fillId="0" borderId="19" xfId="137" applyNumberFormat="1" applyFont="1" applyFill="1" applyBorder="1" applyAlignment="1">
      <alignment horizontal="center"/>
    </xf>
    <xf numFmtId="4" fontId="43" fillId="0" borderId="168" xfId="137" applyNumberFormat="1" applyFont="1" applyFill="1" applyBorder="1" applyAlignment="1">
      <alignment horizontal="center"/>
    </xf>
    <xf numFmtId="0" fontId="9" fillId="0" borderId="0" xfId="137" applyFont="1" applyFill="1" applyBorder="1" applyAlignment="1"/>
    <xf numFmtId="4" fontId="43" fillId="0" borderId="0" xfId="137" applyNumberFormat="1" applyFont="1" applyFill="1" applyBorder="1" applyAlignment="1">
      <alignment horizontal="center"/>
    </xf>
    <xf numFmtId="4" fontId="43" fillId="0" borderId="19" xfId="137" applyNumberFormat="1" applyFont="1" applyFill="1" applyBorder="1" applyAlignment="1">
      <alignment horizontal="center"/>
    </xf>
    <xf numFmtId="4" fontId="99" fillId="0" borderId="0" xfId="0" applyNumberFormat="1" applyFont="1" applyFill="1" applyBorder="1" applyAlignment="1">
      <alignment horizontal="center"/>
    </xf>
    <xf numFmtId="4" fontId="99" fillId="0" borderId="19" xfId="0" applyNumberFormat="1" applyFont="1" applyFill="1" applyBorder="1" applyAlignment="1">
      <alignment horizontal="center"/>
    </xf>
    <xf numFmtId="4" fontId="102" fillId="0" borderId="15" xfId="0" applyNumberFormat="1" applyFont="1" applyFill="1" applyBorder="1" applyAlignment="1">
      <alignment horizontal="center" vertical="center"/>
    </xf>
    <xf numFmtId="4" fontId="99" fillId="0" borderId="10" xfId="0" applyNumberFormat="1" applyFont="1" applyFill="1" applyBorder="1"/>
    <xf numFmtId="4" fontId="99" fillId="0" borderId="68" xfId="0" applyNumberFormat="1" applyFont="1" applyFill="1" applyBorder="1"/>
    <xf numFmtId="4" fontId="102" fillId="0" borderId="208" xfId="0" applyNumberFormat="1" applyFont="1" applyFill="1" applyBorder="1"/>
    <xf numFmtId="4" fontId="102" fillId="0" borderId="68" xfId="0" applyNumberFormat="1" applyFont="1" applyBorder="1"/>
    <xf numFmtId="4" fontId="102" fillId="0" borderId="68" xfId="0" applyNumberFormat="1" applyFont="1" applyFill="1" applyBorder="1"/>
    <xf numFmtId="4" fontId="102" fillId="0" borderId="60" xfId="0" applyNumberFormat="1" applyFont="1" applyFill="1" applyBorder="1"/>
    <xf numFmtId="4" fontId="102" fillId="0" borderId="208" xfId="0" applyNumberFormat="1" applyFont="1" applyBorder="1"/>
    <xf numFmtId="4" fontId="102" fillId="0" borderId="60" xfId="0" applyNumberFormat="1" applyFont="1" applyBorder="1"/>
    <xf numFmtId="4" fontId="99" fillId="0" borderId="208" xfId="0" applyNumberFormat="1" applyFont="1" applyFill="1" applyBorder="1"/>
    <xf numFmtId="4" fontId="99" fillId="0" borderId="11" xfId="0" applyNumberFormat="1" applyFont="1" applyFill="1" applyBorder="1"/>
    <xf numFmtId="0" fontId="90" fillId="0" borderId="168" xfId="137" applyFont="1" applyFill="1" applyBorder="1" applyAlignment="1"/>
    <xf numFmtId="4" fontId="99" fillId="0" borderId="84" xfId="0" applyNumberFormat="1" applyFont="1" applyFill="1" applyBorder="1"/>
    <xf numFmtId="4" fontId="99" fillId="0" borderId="68" xfId="0" applyNumberFormat="1" applyFont="1" applyBorder="1"/>
    <xf numFmtId="4" fontId="100" fillId="26" borderId="160" xfId="0" applyNumberFormat="1" applyFont="1" applyFill="1" applyBorder="1" applyAlignment="1">
      <alignment horizontal="left" vertical="center"/>
    </xf>
    <xf numFmtId="4" fontId="61" fillId="0" borderId="0" xfId="137" applyNumberFormat="1" applyFont="1" applyFill="1" applyBorder="1" applyAlignment="1">
      <alignment horizontal="left"/>
    </xf>
    <xf numFmtId="4" fontId="99" fillId="0" borderId="13" xfId="0" applyNumberFormat="1" applyFont="1" applyBorder="1"/>
    <xf numFmtId="4" fontId="102" fillId="0" borderId="17" xfId="0" applyNumberFormat="1" applyFont="1" applyFill="1" applyBorder="1" applyAlignment="1">
      <alignment horizontal="center"/>
    </xf>
    <xf numFmtId="4" fontId="99" fillId="0" borderId="60" xfId="0" applyNumberFormat="1" applyFont="1" applyFill="1" applyBorder="1"/>
    <xf numFmtId="4" fontId="99" fillId="26" borderId="132" xfId="0" applyNumberFormat="1" applyFont="1" applyFill="1" applyBorder="1"/>
    <xf numFmtId="43" fontId="159" fillId="0" borderId="0" xfId="137" applyNumberFormat="1" applyFont="1" applyFill="1"/>
    <xf numFmtId="4" fontId="99" fillId="0" borderId="0" xfId="0" applyNumberFormat="1" applyFont="1" applyFill="1" applyBorder="1" applyAlignment="1">
      <alignment horizontal="center"/>
    </xf>
    <xf numFmtId="4" fontId="99" fillId="0" borderId="19" xfId="0" applyNumberFormat="1" applyFont="1" applyFill="1" applyBorder="1" applyAlignment="1">
      <alignment horizontal="center"/>
    </xf>
    <xf numFmtId="4" fontId="99" fillId="0" borderId="168" xfId="0" applyNumberFormat="1" applyFont="1" applyFill="1" applyBorder="1" applyAlignment="1">
      <alignment horizontal="right" wrapText="1"/>
    </xf>
    <xf numFmtId="4" fontId="99" fillId="0" borderId="168" xfId="0" applyNumberFormat="1" applyFont="1" applyFill="1" applyBorder="1" applyAlignment="1">
      <alignment horizontal="left" wrapText="1"/>
    </xf>
    <xf numFmtId="43" fontId="113" fillId="0" borderId="39" xfId="82" applyFont="1" applyFill="1" applyBorder="1" applyAlignment="1">
      <alignment horizontal="center"/>
    </xf>
    <xf numFmtId="43" fontId="113" fillId="0" borderId="39" xfId="82" applyFont="1" applyFill="1" applyBorder="1" applyAlignment="1">
      <alignment horizontal="right"/>
    </xf>
    <xf numFmtId="0" fontId="108" fillId="0" borderId="41" xfId="0" applyFont="1" applyFill="1" applyBorder="1"/>
    <xf numFmtId="43" fontId="113" fillId="29" borderId="41" xfId="0" applyNumberFormat="1" applyFont="1" applyFill="1" applyBorder="1" applyAlignment="1">
      <alignment horizontal="center"/>
    </xf>
    <xf numFmtId="0" fontId="115" fillId="0" borderId="41" xfId="0" applyFont="1" applyFill="1" applyBorder="1" applyAlignment="1">
      <alignment horizontal="center"/>
    </xf>
    <xf numFmtId="43" fontId="113" fillId="0" borderId="41" xfId="0" applyNumberFormat="1" applyFont="1" applyFill="1" applyBorder="1" applyAlignment="1">
      <alignment horizontal="center"/>
    </xf>
    <xf numFmtId="43" fontId="115" fillId="0" borderId="41" xfId="0" applyNumberFormat="1" applyFont="1" applyFill="1" applyBorder="1" applyAlignment="1">
      <alignment horizontal="center"/>
    </xf>
    <xf numFmtId="43" fontId="111" fillId="0" borderId="41" xfId="0" applyNumberFormat="1" applyFont="1" applyFill="1" applyBorder="1" applyAlignment="1">
      <alignment horizontal="center"/>
    </xf>
    <xf numFmtId="0" fontId="111" fillId="0" borderId="41" xfId="0" applyFont="1" applyFill="1" applyBorder="1"/>
    <xf numFmtId="4" fontId="102" fillId="0" borderId="15" xfId="0" applyNumberFormat="1" applyFont="1" applyFill="1" applyBorder="1" applyAlignment="1">
      <alignment horizontal="center"/>
    </xf>
    <xf numFmtId="4" fontId="102" fillId="0" borderId="0" xfId="0" applyNumberFormat="1" applyFont="1" applyFill="1" applyBorder="1" applyAlignment="1">
      <alignment horizontal="center"/>
    </xf>
    <xf numFmtId="4" fontId="43" fillId="0" borderId="0" xfId="137" applyNumberFormat="1" applyFont="1" applyFill="1" applyBorder="1" applyAlignment="1">
      <alignment horizontal="center"/>
    </xf>
    <xf numFmtId="4" fontId="43" fillId="0" borderId="19" xfId="137" applyNumberFormat="1" applyFont="1" applyFill="1" applyBorder="1" applyAlignment="1">
      <alignment horizontal="center"/>
    </xf>
    <xf numFmtId="4" fontId="43" fillId="0" borderId="0" xfId="137" applyNumberFormat="1" applyFont="1" applyFill="1" applyBorder="1" applyAlignment="1">
      <alignment horizontal="center"/>
    </xf>
    <xf numFmtId="4" fontId="43" fillId="0" borderId="19" xfId="137" applyNumberFormat="1" applyFont="1" applyFill="1" applyBorder="1" applyAlignment="1">
      <alignment horizontal="center"/>
    </xf>
    <xf numFmtId="0" fontId="2" fillId="0" borderId="0" xfId="137" applyFont="1" applyFill="1" applyBorder="1"/>
    <xf numFmtId="2" fontId="140" fillId="0" borderId="0" xfId="0" applyNumberFormat="1" applyFont="1" applyAlignment="1">
      <alignment horizontal="center"/>
    </xf>
    <xf numFmtId="2" fontId="140" fillId="0" borderId="168" xfId="0" applyNumberFormat="1" applyFont="1" applyFill="1" applyBorder="1"/>
    <xf numFmtId="2" fontId="148" fillId="0" borderId="0" xfId="118" applyNumberFormat="1" applyFont="1" applyFill="1" applyBorder="1" applyAlignment="1">
      <alignment horizontal="center"/>
    </xf>
    <xf numFmtId="2" fontId="142" fillId="0" borderId="0" xfId="118" applyNumberFormat="1" applyFont="1" applyFill="1" applyBorder="1" applyAlignment="1">
      <alignment horizontal="left" vertical="center"/>
    </xf>
    <xf numFmtId="2" fontId="141" fillId="0" borderId="127" xfId="118" applyNumberFormat="1" applyFont="1" applyFill="1" applyBorder="1" applyAlignment="1">
      <alignment horizontal="center"/>
    </xf>
    <xf numFmtId="2" fontId="142" fillId="0" borderId="0" xfId="118" applyNumberFormat="1" applyFont="1" applyFill="1" applyBorder="1"/>
    <xf numFmtId="2" fontId="142" fillId="0" borderId="132" xfId="118" applyNumberFormat="1" applyFont="1" applyFill="1" applyBorder="1" applyAlignment="1">
      <alignment horizontal="center"/>
    </xf>
    <xf numFmtId="2" fontId="141" fillId="0" borderId="131" xfId="118" applyNumberFormat="1" applyFont="1" applyFill="1" applyBorder="1" applyAlignment="1">
      <alignment horizontal="center"/>
    </xf>
    <xf numFmtId="4" fontId="99" fillId="0" borderId="0" xfId="0" applyNumberFormat="1" applyFont="1" applyFill="1" applyBorder="1" applyAlignment="1">
      <alignment horizontal="center"/>
    </xf>
    <xf numFmtId="4" fontId="99" fillId="0" borderId="19" xfId="0" applyNumberFormat="1" applyFont="1" applyFill="1" applyBorder="1" applyAlignment="1">
      <alignment horizontal="center"/>
    </xf>
    <xf numFmtId="4" fontId="102" fillId="0" borderId="15" xfId="0" applyNumberFormat="1" applyFont="1" applyFill="1" applyBorder="1" applyAlignment="1">
      <alignment horizontal="center" vertical="center"/>
    </xf>
    <xf numFmtId="4" fontId="43" fillId="0" borderId="0" xfId="137" applyNumberFormat="1" applyFont="1" applyFill="1" applyBorder="1" applyAlignment="1">
      <alignment horizontal="center"/>
    </xf>
    <xf numFmtId="4" fontId="43" fillId="0" borderId="19" xfId="137" applyNumberFormat="1" applyFont="1" applyFill="1" applyBorder="1" applyAlignment="1">
      <alignment horizontal="center"/>
    </xf>
    <xf numFmtId="4" fontId="99" fillId="0" borderId="168" xfId="0" applyNumberFormat="1" applyFont="1" applyFill="1" applyBorder="1" applyAlignment="1">
      <alignment horizontal="right" wrapText="1"/>
    </xf>
    <xf numFmtId="0" fontId="90" fillId="0" borderId="0" xfId="137" applyFont="1" applyFill="1" applyBorder="1" applyAlignment="1">
      <alignment horizontal="center"/>
    </xf>
    <xf numFmtId="0" fontId="90" fillId="0" borderId="19" xfId="137" applyFont="1" applyFill="1" applyBorder="1" applyAlignment="1">
      <alignment horizontal="center"/>
    </xf>
    <xf numFmtId="4" fontId="102" fillId="0" borderId="15" xfId="0" applyNumberFormat="1" applyFont="1" applyFill="1" applyBorder="1" applyAlignment="1">
      <alignment horizontal="center"/>
    </xf>
    <xf numFmtId="4" fontId="99" fillId="0" borderId="13" xfId="0" applyNumberFormat="1" applyFont="1" applyFill="1" applyBorder="1" applyAlignment="1">
      <alignment horizontal="center"/>
    </xf>
    <xf numFmtId="4" fontId="102" fillId="0" borderId="15" xfId="0" applyNumberFormat="1" applyFont="1" applyFill="1" applyBorder="1" applyAlignment="1">
      <alignment horizontal="center" vertical="center"/>
    </xf>
    <xf numFmtId="0" fontId="90" fillId="0" borderId="168" xfId="137" applyFont="1" applyFill="1" applyBorder="1" applyAlignment="1">
      <alignment horizontal="center"/>
    </xf>
    <xf numFmtId="0" fontId="160" fillId="0" borderId="13" xfId="0" applyFont="1" applyBorder="1"/>
    <xf numFmtId="0" fontId="160" fillId="0" borderId="0" xfId="0" applyFont="1"/>
    <xf numFmtId="0" fontId="0" fillId="0" borderId="0" xfId="0" applyFont="1"/>
    <xf numFmtId="4" fontId="102" fillId="0" borderId="33" xfId="0" applyNumberFormat="1" applyFont="1" applyFill="1" applyBorder="1"/>
    <xf numFmtId="4" fontId="99" fillId="0" borderId="84" xfId="0" applyNumberFormat="1" applyFont="1" applyBorder="1"/>
    <xf numFmtId="0" fontId="90" fillId="0" borderId="0" xfId="137" applyFont="1" applyFill="1" applyBorder="1" applyAlignment="1">
      <alignment horizontal="center"/>
    </xf>
    <xf numFmtId="0" fontId="90" fillId="0" borderId="19" xfId="137" applyFont="1" applyFill="1" applyBorder="1" applyAlignment="1">
      <alignment horizontal="center"/>
    </xf>
    <xf numFmtId="0" fontId="90" fillId="0" borderId="0" xfId="137" applyFont="1" applyFill="1" applyBorder="1" applyAlignment="1">
      <alignment horizontal="left" vertical="top" wrapText="1"/>
    </xf>
    <xf numFmtId="0" fontId="90" fillId="0" borderId="19" xfId="137" applyFont="1" applyFill="1" applyBorder="1" applyAlignment="1">
      <alignment horizontal="left" vertical="top" wrapText="1"/>
    </xf>
    <xf numFmtId="0" fontId="90" fillId="0" borderId="168" xfId="137" applyFont="1" applyFill="1" applyBorder="1" applyAlignment="1">
      <alignment horizontal="left" vertical="top" wrapText="1"/>
    </xf>
    <xf numFmtId="0" fontId="90" fillId="0" borderId="0" xfId="137" applyFont="1" applyFill="1" applyBorder="1" applyAlignment="1">
      <alignment horizontal="left"/>
    </xf>
    <xf numFmtId="0" fontId="90" fillId="0" borderId="168" xfId="137" applyFont="1" applyFill="1" applyBorder="1" applyAlignment="1">
      <alignment horizontal="center"/>
    </xf>
    <xf numFmtId="4" fontId="99" fillId="0" borderId="210" xfId="0" applyNumberFormat="1" applyFont="1" applyFill="1" applyBorder="1"/>
    <xf numFmtId="4" fontId="99" fillId="0" borderId="12" xfId="0" applyNumberFormat="1" applyFont="1" applyFill="1" applyBorder="1" applyAlignment="1">
      <alignment horizontal="center"/>
    </xf>
    <xf numFmtId="4" fontId="99" fillId="0" borderId="10" xfId="0" applyNumberFormat="1" applyFont="1" applyFill="1" applyBorder="1" applyAlignment="1">
      <alignment horizontal="center"/>
    </xf>
    <xf numFmtId="0" fontId="90" fillId="0" borderId="168" xfId="137" applyFont="1" applyFill="1" applyBorder="1" applyAlignment="1">
      <alignment horizontal="right"/>
    </xf>
    <xf numFmtId="0" fontId="90" fillId="0" borderId="0" xfId="137" applyFont="1" applyFill="1" applyBorder="1" applyAlignment="1">
      <alignment horizontal="right"/>
    </xf>
    <xf numFmtId="0" fontId="90" fillId="0" borderId="19" xfId="137" applyFont="1" applyFill="1" applyBorder="1" applyAlignment="1">
      <alignment horizontal="right"/>
    </xf>
    <xf numFmtId="4" fontId="102" fillId="0" borderId="11" xfId="0" applyNumberFormat="1" applyFont="1" applyFill="1" applyBorder="1"/>
    <xf numFmtId="43" fontId="22" fillId="0" borderId="13" xfId="137" applyNumberFormat="1" applyFill="1" applyBorder="1"/>
    <xf numFmtId="43" fontId="161" fillId="0" borderId="0" xfId="137" applyNumberFormat="1" applyFont="1" applyFill="1"/>
    <xf numFmtId="4" fontId="43" fillId="0" borderId="0" xfId="137" applyNumberFormat="1" applyFont="1" applyFill="1" applyBorder="1" applyAlignment="1">
      <alignment horizontal="center"/>
    </xf>
    <xf numFmtId="4" fontId="43" fillId="0" borderId="19" xfId="137" applyNumberFormat="1" applyFont="1" applyFill="1" applyBorder="1" applyAlignment="1">
      <alignment horizontal="center"/>
    </xf>
    <xf numFmtId="4" fontId="99" fillId="0" borderId="168" xfId="0" applyNumberFormat="1" applyFont="1" applyFill="1" applyBorder="1" applyAlignment="1">
      <alignment horizontal="left" vertical="top" wrapText="1"/>
    </xf>
    <xf numFmtId="4" fontId="99" fillId="0" borderId="0" xfId="0" applyNumberFormat="1" applyFont="1" applyFill="1" applyBorder="1" applyAlignment="1">
      <alignment horizontal="left" vertical="top" wrapText="1"/>
    </xf>
    <xf numFmtId="4" fontId="99" fillId="0" borderId="19" xfId="0" applyNumberFormat="1" applyFont="1" applyFill="1" applyBorder="1" applyAlignment="1">
      <alignment horizontal="left" vertical="top" wrapText="1"/>
    </xf>
    <xf numFmtId="43" fontId="113" fillId="29" borderId="39" xfId="0" applyNumberFormat="1" applyFont="1" applyFill="1" applyBorder="1" applyAlignment="1">
      <alignment horizontal="center"/>
    </xf>
    <xf numFmtId="43" fontId="113" fillId="29" borderId="40" xfId="0" applyNumberFormat="1" applyFont="1" applyFill="1" applyBorder="1" applyAlignment="1">
      <alignment horizontal="center"/>
    </xf>
    <xf numFmtId="43" fontId="113" fillId="29" borderId="41" xfId="0" applyNumberFormat="1" applyFont="1" applyFill="1" applyBorder="1" applyAlignment="1">
      <alignment horizontal="center"/>
    </xf>
    <xf numFmtId="0" fontId="111" fillId="0" borderId="39" xfId="137" applyFont="1" applyFill="1" applyBorder="1" applyAlignment="1">
      <alignment horizontal="left"/>
    </xf>
    <xf numFmtId="0" fontId="111" fillId="0" borderId="40" xfId="137" applyFont="1" applyFill="1" applyBorder="1" applyAlignment="1">
      <alignment horizontal="left"/>
    </xf>
    <xf numFmtId="0" fontId="111" fillId="0" borderId="41" xfId="137" applyFont="1" applyFill="1" applyBorder="1" applyAlignment="1">
      <alignment horizontal="left"/>
    </xf>
    <xf numFmtId="4" fontId="99" fillId="0" borderId="0" xfId="0" applyNumberFormat="1" applyFont="1" applyFill="1" applyBorder="1" applyAlignment="1">
      <alignment horizontal="center"/>
    </xf>
    <xf numFmtId="4" fontId="99" fillId="0" borderId="19" xfId="0" applyNumberFormat="1" applyFont="1" applyFill="1" applyBorder="1" applyAlignment="1">
      <alignment horizontal="center"/>
    </xf>
    <xf numFmtId="4" fontId="100" fillId="26" borderId="160" xfId="0" applyNumberFormat="1" applyFont="1" applyFill="1" applyBorder="1" applyAlignment="1">
      <alignment horizontal="left" vertical="center"/>
    </xf>
    <xf numFmtId="4" fontId="99" fillId="0" borderId="0" xfId="0" applyNumberFormat="1" applyFont="1" applyFill="1" applyBorder="1" applyAlignment="1">
      <alignment horizontal="center"/>
    </xf>
    <xf numFmtId="4" fontId="99" fillId="0" borderId="19" xfId="0" applyNumberFormat="1" applyFont="1" applyFill="1" applyBorder="1" applyAlignment="1">
      <alignment horizontal="center"/>
    </xf>
    <xf numFmtId="43" fontId="108" fillId="29" borderId="123" xfId="82" applyFont="1" applyFill="1" applyBorder="1" applyAlignment="1">
      <alignment horizontal="center"/>
    </xf>
    <xf numFmtId="4" fontId="99" fillId="0" borderId="26" xfId="0" applyNumberFormat="1" applyFont="1" applyFill="1" applyBorder="1"/>
    <xf numFmtId="43" fontId="142" fillId="0" borderId="0" xfId="137" applyNumberFormat="1" applyFont="1" applyFill="1"/>
    <xf numFmtId="4" fontId="99" fillId="0" borderId="168" xfId="0" applyNumberFormat="1" applyFont="1" applyFill="1" applyBorder="1" applyAlignment="1">
      <alignment horizontal="left" vertical="top" wrapText="1"/>
    </xf>
    <xf numFmtId="4" fontId="99" fillId="0" borderId="0" xfId="0" applyNumberFormat="1" applyFont="1" applyFill="1" applyBorder="1" applyAlignment="1">
      <alignment horizontal="left" vertical="top" wrapText="1"/>
    </xf>
    <xf numFmtId="4" fontId="99" fillId="0" borderId="19" xfId="0" applyNumberFormat="1" applyFont="1" applyFill="1" applyBorder="1" applyAlignment="1">
      <alignment horizontal="left" vertical="top" wrapText="1"/>
    </xf>
    <xf numFmtId="4" fontId="43" fillId="0" borderId="0" xfId="137" applyNumberFormat="1" applyFont="1" applyFill="1" applyBorder="1" applyAlignment="1">
      <alignment horizontal="center"/>
    </xf>
    <xf numFmtId="4" fontId="43" fillId="0" borderId="19" xfId="137" applyNumberFormat="1" applyFont="1" applyFill="1" applyBorder="1" applyAlignment="1">
      <alignment horizontal="center"/>
    </xf>
    <xf numFmtId="0" fontId="22" fillId="33" borderId="0" xfId="137" applyFill="1" applyBorder="1"/>
    <xf numFmtId="0" fontId="90" fillId="33" borderId="134" xfId="137" applyFont="1" applyFill="1" applyBorder="1" applyAlignment="1">
      <alignment horizontal="center"/>
    </xf>
    <xf numFmtId="0" fontId="90" fillId="33" borderId="39" xfId="137" applyFont="1" applyFill="1" applyBorder="1" applyAlignment="1"/>
    <xf numFmtId="0" fontId="9" fillId="33" borderId="40" xfId="137" applyFont="1" applyFill="1" applyBorder="1" applyAlignment="1"/>
    <xf numFmtId="0" fontId="9" fillId="33" borderId="41" xfId="137" applyFont="1" applyFill="1" applyBorder="1" applyAlignment="1"/>
    <xf numFmtId="0" fontId="90" fillId="33" borderId="37" xfId="137" applyFont="1" applyFill="1" applyBorder="1" applyAlignment="1">
      <alignment horizontal="center"/>
    </xf>
    <xf numFmtId="43" fontId="90" fillId="33" borderId="37" xfId="82" applyFont="1" applyFill="1" applyBorder="1"/>
    <xf numFmtId="43" fontId="90" fillId="33" borderId="38" xfId="82" applyFont="1" applyFill="1" applyBorder="1"/>
    <xf numFmtId="0" fontId="22" fillId="33" borderId="0" xfId="137" applyFill="1"/>
    <xf numFmtId="4" fontId="102" fillId="0" borderId="15" xfId="0" applyNumberFormat="1" applyFont="1" applyFill="1" applyBorder="1" applyAlignment="1">
      <alignment horizontal="center"/>
    </xf>
    <xf numFmtId="4" fontId="99" fillId="0" borderId="168" xfId="0" applyNumberFormat="1" applyFont="1" applyFill="1" applyBorder="1" applyAlignment="1">
      <alignment horizontal="left" vertical="top" wrapText="1"/>
    </xf>
    <xf numFmtId="4" fontId="99" fillId="0" borderId="0" xfId="0" applyNumberFormat="1" applyFont="1" applyFill="1" applyBorder="1" applyAlignment="1">
      <alignment horizontal="left" vertical="top" wrapText="1"/>
    </xf>
    <xf numFmtId="4" fontId="99" fillId="0" borderId="19" xfId="0" applyNumberFormat="1" applyFont="1" applyFill="1" applyBorder="1" applyAlignment="1">
      <alignment horizontal="left" vertical="top" wrapText="1"/>
    </xf>
    <xf numFmtId="4" fontId="43" fillId="0" borderId="0" xfId="137" applyNumberFormat="1" applyFont="1" applyFill="1" applyBorder="1" applyAlignment="1">
      <alignment horizontal="center"/>
    </xf>
    <xf numFmtId="4" fontId="43" fillId="0" borderId="19" xfId="137" applyNumberFormat="1" applyFont="1" applyFill="1" applyBorder="1" applyAlignment="1">
      <alignment horizontal="center"/>
    </xf>
    <xf numFmtId="4" fontId="102" fillId="0" borderId="11" xfId="0" applyNumberFormat="1" applyFont="1" applyBorder="1"/>
    <xf numFmtId="4" fontId="102" fillId="0" borderId="33" xfId="0" applyNumberFormat="1" applyFont="1" applyBorder="1"/>
    <xf numFmtId="4" fontId="99" fillId="0" borderId="168" xfId="0" applyNumberFormat="1" applyFont="1" applyFill="1" applyBorder="1" applyAlignment="1">
      <alignment horizontal="left" vertical="top" wrapText="1"/>
    </xf>
    <xf numFmtId="4" fontId="99" fillId="0" borderId="0" xfId="0" applyNumberFormat="1" applyFont="1" applyFill="1" applyBorder="1" applyAlignment="1">
      <alignment horizontal="left" vertical="top" wrapText="1"/>
    </xf>
    <xf numFmtId="4" fontId="99" fillId="0" borderId="19" xfId="0" applyNumberFormat="1" applyFont="1" applyFill="1" applyBorder="1" applyAlignment="1">
      <alignment horizontal="left" vertical="top" wrapText="1"/>
    </xf>
    <xf numFmtId="4" fontId="99" fillId="0" borderId="168" xfId="0" applyNumberFormat="1" applyFont="1" applyFill="1" applyBorder="1" applyAlignment="1">
      <alignment horizontal="left" vertical="top" wrapText="1"/>
    </xf>
    <xf numFmtId="4" fontId="99" fillId="0" borderId="0" xfId="0" applyNumberFormat="1" applyFont="1" applyFill="1" applyBorder="1" applyAlignment="1">
      <alignment horizontal="left" vertical="top" wrapText="1"/>
    </xf>
    <xf numFmtId="4" fontId="99" fillId="0" borderId="19" xfId="0" applyNumberFormat="1" applyFont="1" applyFill="1" applyBorder="1" applyAlignment="1">
      <alignment horizontal="left" vertical="top" wrapText="1"/>
    </xf>
    <xf numFmtId="4" fontId="102" fillId="0" borderId="15" xfId="0" applyNumberFormat="1" applyFont="1" applyFill="1" applyBorder="1" applyAlignment="1">
      <alignment horizontal="center"/>
    </xf>
    <xf numFmtId="4" fontId="99" fillId="0" borderId="168" xfId="0" applyNumberFormat="1" applyFont="1" applyFill="1" applyBorder="1" applyAlignment="1">
      <alignment horizontal="left" vertical="top" wrapText="1"/>
    </xf>
    <xf numFmtId="4" fontId="99" fillId="0" borderId="0" xfId="0" applyNumberFormat="1" applyFont="1" applyFill="1" applyBorder="1" applyAlignment="1">
      <alignment horizontal="left" vertical="top" wrapText="1"/>
    </xf>
    <xf numFmtId="4" fontId="99" fillId="0" borderId="19" xfId="0" applyNumberFormat="1" applyFont="1" applyFill="1" applyBorder="1" applyAlignment="1">
      <alignment horizontal="left" vertical="top" wrapText="1"/>
    </xf>
    <xf numFmtId="4" fontId="102" fillId="0" borderId="15" xfId="0" applyNumberFormat="1" applyFont="1" applyFill="1" applyBorder="1" applyAlignment="1">
      <alignment horizontal="center"/>
    </xf>
    <xf numFmtId="4" fontId="99" fillId="0" borderId="168" xfId="0" applyNumberFormat="1" applyFont="1" applyFill="1" applyBorder="1" applyAlignment="1">
      <alignment horizontal="left" vertical="top" wrapText="1"/>
    </xf>
    <xf numFmtId="4" fontId="99" fillId="0" borderId="0" xfId="0" applyNumberFormat="1" applyFont="1" applyFill="1" applyBorder="1" applyAlignment="1">
      <alignment horizontal="left" vertical="top" wrapText="1"/>
    </xf>
    <xf numFmtId="4" fontId="99" fillId="0" borderId="19" xfId="0" applyNumberFormat="1" applyFont="1" applyFill="1" applyBorder="1" applyAlignment="1">
      <alignment horizontal="left" vertical="top" wrapText="1"/>
    </xf>
    <xf numFmtId="4" fontId="99" fillId="0" borderId="168" xfId="0" applyNumberFormat="1" applyFont="1" applyFill="1" applyBorder="1" applyAlignment="1">
      <alignment horizontal="left" vertical="top" wrapText="1"/>
    </xf>
    <xf numFmtId="4" fontId="99" fillId="0" borderId="0" xfId="0" applyNumberFormat="1" applyFont="1" applyFill="1" applyBorder="1" applyAlignment="1">
      <alignment horizontal="left" vertical="top" wrapText="1"/>
    </xf>
    <xf numFmtId="4" fontId="99" fillId="0" borderId="19" xfId="0" applyNumberFormat="1" applyFont="1" applyFill="1" applyBorder="1" applyAlignment="1">
      <alignment horizontal="left" vertical="top" wrapText="1"/>
    </xf>
    <xf numFmtId="4" fontId="99" fillId="0" borderId="168" xfId="0" applyNumberFormat="1" applyFont="1" applyFill="1" applyBorder="1" applyAlignment="1">
      <alignment horizontal="left" vertical="top" wrapText="1"/>
    </xf>
    <xf numFmtId="4" fontId="99" fillId="0" borderId="0" xfId="0" applyNumberFormat="1" applyFont="1" applyFill="1" applyBorder="1" applyAlignment="1">
      <alignment horizontal="left" vertical="top" wrapText="1"/>
    </xf>
    <xf numFmtId="4" fontId="99" fillId="0" borderId="19" xfId="0" applyNumberFormat="1" applyFont="1" applyFill="1" applyBorder="1" applyAlignment="1">
      <alignment horizontal="left" vertical="top" wrapText="1"/>
    </xf>
    <xf numFmtId="4" fontId="102" fillId="0" borderId="0" xfId="0" applyNumberFormat="1" applyFont="1" applyFill="1" applyBorder="1" applyAlignment="1">
      <alignment horizontal="left" vertical="top" wrapText="1"/>
    </xf>
    <xf numFmtId="4" fontId="99" fillId="0" borderId="168" xfId="0" applyNumberFormat="1" applyFont="1" applyFill="1" applyBorder="1" applyAlignment="1">
      <alignment horizontal="left" vertical="top" wrapText="1"/>
    </xf>
    <xf numFmtId="4" fontId="99" fillId="0" borderId="0" xfId="0" applyNumberFormat="1" applyFont="1" applyFill="1" applyBorder="1" applyAlignment="1">
      <alignment horizontal="left" vertical="top" wrapText="1"/>
    </xf>
    <xf numFmtId="4" fontId="99" fillId="0" borderId="19" xfId="0" applyNumberFormat="1" applyFont="1" applyFill="1" applyBorder="1" applyAlignment="1">
      <alignment horizontal="left" vertical="top" wrapText="1"/>
    </xf>
    <xf numFmtId="4" fontId="99" fillId="0" borderId="208" xfId="0" applyNumberFormat="1" applyFont="1" applyBorder="1"/>
    <xf numFmtId="43" fontId="95" fillId="30" borderId="85" xfId="82" applyFont="1" applyFill="1" applyBorder="1"/>
    <xf numFmtId="4" fontId="95" fillId="0" borderId="18" xfId="137" applyNumberFormat="1" applyFont="1" applyFill="1" applyBorder="1"/>
    <xf numFmtId="4" fontId="90" fillId="0" borderId="39" xfId="137" applyNumberFormat="1" applyFont="1" applyFill="1" applyBorder="1"/>
    <xf numFmtId="4" fontId="102" fillId="0" borderId="0" xfId="0" applyNumberFormat="1" applyFont="1" applyFill="1" applyBorder="1" applyAlignment="1">
      <alignment vertical="top" wrapText="1"/>
    </xf>
    <xf numFmtId="4" fontId="102" fillId="0" borderId="19" xfId="0" applyNumberFormat="1" applyFont="1" applyFill="1" applyBorder="1" applyAlignment="1">
      <alignment vertical="top" wrapText="1"/>
    </xf>
    <xf numFmtId="4" fontId="102" fillId="0" borderId="0" xfId="0" applyNumberFormat="1" applyFont="1" applyFill="1" applyBorder="1" applyAlignment="1">
      <alignment horizontal="center" vertical="top" wrapText="1"/>
    </xf>
    <xf numFmtId="4" fontId="102" fillId="0" borderId="168" xfId="0" applyNumberFormat="1" applyFont="1" applyFill="1" applyBorder="1" applyAlignment="1">
      <alignment horizontal="left" vertical="top"/>
    </xf>
    <xf numFmtId="43" fontId="90" fillId="0" borderId="37" xfId="82" applyFont="1" applyFill="1" applyBorder="1" applyAlignment="1">
      <alignment horizontal="center" wrapText="1"/>
    </xf>
    <xf numFmtId="43" fontId="106" fillId="27" borderId="68" xfId="82" applyFont="1" applyFill="1" applyBorder="1"/>
    <xf numFmtId="43" fontId="106" fillId="30" borderId="85" xfId="82" applyFont="1" applyFill="1" applyBorder="1"/>
    <xf numFmtId="4" fontId="99" fillId="0" borderId="0" xfId="0" applyNumberFormat="1" applyFont="1" applyFill="1" applyBorder="1" applyAlignment="1">
      <alignment horizontal="left" vertical="top" wrapText="1"/>
    </xf>
    <xf numFmtId="4" fontId="99" fillId="0" borderId="0" xfId="0" applyNumberFormat="1" applyFont="1" applyFill="1" applyBorder="1" applyAlignment="1">
      <alignment vertical="top" wrapText="1"/>
    </xf>
    <xf numFmtId="4" fontId="99" fillId="0" borderId="19" xfId="0" applyNumberFormat="1" applyFont="1" applyFill="1" applyBorder="1" applyAlignment="1">
      <alignment vertical="top" wrapText="1"/>
    </xf>
    <xf numFmtId="4" fontId="90" fillId="0" borderId="39" xfId="137" applyNumberFormat="1" applyFont="1" applyFill="1" applyBorder="1" applyAlignment="1">
      <alignment horizontal="left" wrapText="1"/>
    </xf>
    <xf numFmtId="4" fontId="90" fillId="0" borderId="40" xfId="137" applyNumberFormat="1" applyFont="1" applyFill="1" applyBorder="1" applyAlignment="1">
      <alignment horizontal="left" wrapText="1"/>
    </xf>
    <xf numFmtId="4" fontId="90" fillId="0" borderId="41" xfId="137" applyNumberFormat="1" applyFont="1" applyFill="1" applyBorder="1" applyAlignment="1">
      <alignment horizontal="left" wrapText="1"/>
    </xf>
    <xf numFmtId="4" fontId="90" fillId="0" borderId="18" xfId="137" applyNumberFormat="1" applyFont="1" applyFill="1" applyBorder="1"/>
    <xf numFmtId="4" fontId="62" fillId="0" borderId="68" xfId="137" applyNumberFormat="1" applyFont="1" applyFill="1" applyBorder="1" applyAlignment="1">
      <alignment horizontal="center" vertical="center" wrapText="1"/>
    </xf>
    <xf numFmtId="43" fontId="90" fillId="0" borderId="85" xfId="82" applyFont="1" applyFill="1" applyBorder="1"/>
    <xf numFmtId="0" fontId="111" fillId="0" borderId="40" xfId="137" applyFont="1" applyFill="1" applyBorder="1" applyAlignment="1">
      <alignment horizontal="left"/>
    </xf>
    <xf numFmtId="0" fontId="111" fillId="0" borderId="41" xfId="137" applyFont="1" applyFill="1" applyBorder="1" applyAlignment="1">
      <alignment horizontal="left"/>
    </xf>
    <xf numFmtId="43" fontId="113" fillId="29" borderId="39" xfId="0" applyNumberFormat="1" applyFont="1" applyFill="1" applyBorder="1" applyAlignment="1">
      <alignment horizontal="center"/>
    </xf>
    <xf numFmtId="43" fontId="113" fillId="29" borderId="40" xfId="0" applyNumberFormat="1" applyFont="1" applyFill="1" applyBorder="1" applyAlignment="1">
      <alignment horizontal="center"/>
    </xf>
    <xf numFmtId="43" fontId="113" fillId="29" borderId="41" xfId="0" applyNumberFormat="1" applyFont="1" applyFill="1" applyBorder="1" applyAlignment="1">
      <alignment horizontal="center"/>
    </xf>
    <xf numFmtId="4" fontId="99" fillId="0" borderId="168" xfId="0" applyNumberFormat="1" applyFont="1" applyFill="1" applyBorder="1" applyAlignment="1">
      <alignment horizontal="left" vertical="top" wrapText="1"/>
    </xf>
    <xf numFmtId="4" fontId="99" fillId="0" borderId="0" xfId="0" applyNumberFormat="1" applyFont="1" applyFill="1" applyBorder="1" applyAlignment="1">
      <alignment horizontal="left" vertical="top" wrapText="1"/>
    </xf>
    <xf numFmtId="4" fontId="99" fillId="0" borderId="19" xfId="0" applyNumberFormat="1" applyFont="1" applyFill="1" applyBorder="1" applyAlignment="1">
      <alignment horizontal="left" vertical="top" wrapText="1"/>
    </xf>
    <xf numFmtId="0" fontId="90" fillId="0" borderId="0" xfId="137" applyFont="1" applyFill="1" applyBorder="1" applyAlignment="1">
      <alignment horizontal="center"/>
    </xf>
    <xf numFmtId="0" fontId="90" fillId="0" borderId="19" xfId="137" applyFont="1" applyFill="1" applyBorder="1" applyAlignment="1">
      <alignment horizontal="center"/>
    </xf>
    <xf numFmtId="4" fontId="99" fillId="0" borderId="0" xfId="0" applyNumberFormat="1" applyFont="1" applyFill="1" applyBorder="1" applyAlignment="1">
      <alignment horizontal="left" wrapText="1"/>
    </xf>
    <xf numFmtId="4" fontId="102" fillId="0" borderId="18" xfId="0" applyNumberFormat="1" applyFont="1" applyFill="1" applyBorder="1" applyAlignment="1">
      <alignment horizontal="center"/>
    </xf>
    <xf numFmtId="4" fontId="93" fillId="0" borderId="39" xfId="137" applyNumberFormat="1" applyFont="1" applyFill="1" applyBorder="1"/>
    <xf numFmtId="43" fontId="115" fillId="0" borderId="40" xfId="82" applyFont="1" applyFill="1" applyBorder="1" applyAlignment="1">
      <alignment horizontal="center"/>
    </xf>
    <xf numFmtId="4" fontId="111" fillId="0" borderId="39" xfId="137" applyNumberFormat="1" applyFont="1" applyFill="1" applyBorder="1" applyAlignment="1">
      <alignment horizontal="left"/>
    </xf>
    <xf numFmtId="4" fontId="99" fillId="0" borderId="100" xfId="0" applyNumberFormat="1" applyFont="1" applyFill="1" applyBorder="1" applyAlignment="1">
      <alignment horizontal="left" wrapText="1"/>
    </xf>
    <xf numFmtId="4" fontId="99" fillId="0" borderId="19" xfId="0" applyNumberFormat="1" applyFont="1" applyFill="1" applyBorder="1" applyAlignment="1">
      <alignment horizontal="left" wrapText="1"/>
    </xf>
    <xf numFmtId="4" fontId="99" fillId="0" borderId="98" xfId="0" applyNumberFormat="1" applyFont="1" applyBorder="1"/>
    <xf numFmtId="4" fontId="101" fillId="0" borderId="22" xfId="0" applyNumberFormat="1" applyFont="1" applyFill="1" applyBorder="1" applyAlignment="1">
      <alignment vertical="top"/>
    </xf>
    <xf numFmtId="4" fontId="99" fillId="0" borderId="0" xfId="0" applyNumberFormat="1" applyFont="1" applyFill="1" applyBorder="1" applyAlignment="1">
      <alignment horizontal="center" wrapText="1"/>
    </xf>
    <xf numFmtId="4" fontId="99" fillId="0" borderId="19" xfId="0" applyNumberFormat="1" applyFont="1" applyFill="1" applyBorder="1" applyAlignment="1">
      <alignment horizontal="center" wrapText="1"/>
    </xf>
    <xf numFmtId="4" fontId="99" fillId="0" borderId="0" xfId="0" applyNumberFormat="1" applyFont="1" applyFill="1" applyBorder="1" applyAlignment="1">
      <alignment horizontal="left" wrapText="1"/>
    </xf>
    <xf numFmtId="4" fontId="99" fillId="0" borderId="100" xfId="0" applyNumberFormat="1" applyFont="1" applyFill="1" applyBorder="1" applyAlignment="1">
      <alignment horizontal="center" wrapText="1"/>
    </xf>
    <xf numFmtId="4" fontId="99" fillId="0" borderId="100" xfId="0" applyNumberFormat="1" applyFont="1" applyFill="1" applyBorder="1" applyAlignment="1">
      <alignment horizontal="left" wrapText="1"/>
    </xf>
    <xf numFmtId="4" fontId="99" fillId="0" borderId="19" xfId="0" applyNumberFormat="1" applyFont="1" applyFill="1" applyBorder="1" applyAlignment="1">
      <alignment horizontal="left" wrapText="1"/>
    </xf>
    <xf numFmtId="4" fontId="92" fillId="0" borderId="39" xfId="137" applyNumberFormat="1" applyFont="1" applyFill="1" applyBorder="1"/>
    <xf numFmtId="4" fontId="102" fillId="0" borderId="0" xfId="0" applyNumberFormat="1" applyFont="1" applyBorder="1"/>
    <xf numFmtId="0" fontId="90" fillId="29" borderId="45" xfId="137" applyFont="1" applyFill="1" applyBorder="1" applyAlignment="1">
      <alignment horizontal="center"/>
    </xf>
    <xf numFmtId="0" fontId="90" fillId="0" borderId="0" xfId="137" applyFont="1" applyFill="1" applyBorder="1" applyAlignment="1">
      <alignment horizontal="left"/>
    </xf>
    <xf numFmtId="0" fontId="90" fillId="0" borderId="19" xfId="137" applyFont="1" applyFill="1" applyBorder="1" applyAlignment="1">
      <alignment horizontal="left"/>
    </xf>
    <xf numFmtId="4" fontId="99" fillId="0" borderId="168" xfId="0" applyNumberFormat="1" applyFont="1" applyFill="1" applyBorder="1" applyAlignment="1">
      <alignment vertical="top"/>
    </xf>
    <xf numFmtId="4" fontId="102" fillId="0" borderId="100" xfId="0" applyNumberFormat="1" applyFont="1" applyFill="1" applyBorder="1"/>
    <xf numFmtId="0" fontId="90" fillId="0" borderId="100" xfId="137" applyFont="1" applyFill="1" applyBorder="1" applyAlignment="1">
      <alignment horizontal="left"/>
    </xf>
    <xf numFmtId="0" fontId="9" fillId="0" borderId="0" xfId="160"/>
    <xf numFmtId="0" fontId="163" fillId="0" borderId="211" xfId="160" applyFont="1" applyBorder="1" applyAlignment="1">
      <alignment horizontal="center" vertical="center"/>
    </xf>
    <xf numFmtId="0" fontId="163" fillId="0" borderId="212" xfId="160" applyFont="1" applyBorder="1" applyAlignment="1">
      <alignment horizontal="center" vertical="center" wrapText="1"/>
    </xf>
    <xf numFmtId="0" fontId="163" fillId="0" borderId="213" xfId="160" applyFont="1" applyBorder="1" applyAlignment="1">
      <alignment horizontal="center" vertical="center" wrapText="1"/>
    </xf>
    <xf numFmtId="168" fontId="99" fillId="0" borderId="214" xfId="160" applyNumberFormat="1" applyFont="1" applyBorder="1" applyAlignment="1">
      <alignment horizontal="center" vertical="center"/>
    </xf>
    <xf numFmtId="2" fontId="99" fillId="0" borderId="215" xfId="160" applyNumberFormat="1" applyFont="1" applyBorder="1" applyAlignment="1">
      <alignment horizontal="center" vertical="center"/>
    </xf>
    <xf numFmtId="2" fontId="99" fillId="0" borderId="216" xfId="160" applyNumberFormat="1" applyFont="1" applyBorder="1" applyAlignment="1">
      <alignment horizontal="center" vertical="center"/>
    </xf>
    <xf numFmtId="168" fontId="99" fillId="0" borderId="217" xfId="160" applyNumberFormat="1" applyFont="1" applyBorder="1" applyAlignment="1">
      <alignment horizontal="center" vertical="center"/>
    </xf>
    <xf numFmtId="2" fontId="99" fillId="0" borderId="218" xfId="160" applyNumberFormat="1" applyFont="1" applyBorder="1" applyAlignment="1">
      <alignment horizontal="center" vertical="center"/>
    </xf>
    <xf numFmtId="169" fontId="163" fillId="0" borderId="221" xfId="160" applyNumberFormat="1" applyFont="1" applyBorder="1" applyAlignment="1">
      <alignment horizontal="center" vertical="center"/>
    </xf>
    <xf numFmtId="0" fontId="162" fillId="0" borderId="100" xfId="160" applyFont="1" applyFill="1" applyBorder="1" applyAlignment="1">
      <alignment horizontal="center" vertical="center"/>
    </xf>
    <xf numFmtId="0" fontId="162" fillId="0" borderId="0" xfId="160" applyFont="1" applyFill="1" applyBorder="1" applyAlignment="1">
      <alignment horizontal="center" vertical="center"/>
    </xf>
    <xf numFmtId="0" fontId="162" fillId="0" borderId="99" xfId="160" applyFont="1" applyFill="1" applyBorder="1" applyAlignment="1">
      <alignment horizontal="center" vertical="center"/>
    </xf>
    <xf numFmtId="4" fontId="101" fillId="0" borderId="100" xfId="0" applyNumberFormat="1" applyFont="1" applyFill="1" applyBorder="1" applyAlignment="1">
      <alignment vertical="top"/>
    </xf>
    <xf numFmtId="168" fontId="163" fillId="0" borderId="100" xfId="160" applyNumberFormat="1" applyFont="1" applyBorder="1" applyAlignment="1">
      <alignment horizontal="center" vertical="center"/>
    </xf>
    <xf numFmtId="168" fontId="163" fillId="0" borderId="0" xfId="160" applyNumberFormat="1" applyFont="1" applyBorder="1" applyAlignment="1">
      <alignment horizontal="center" vertical="center"/>
    </xf>
    <xf numFmtId="169" fontId="163" fillId="0" borderId="0" xfId="160" applyNumberFormat="1" applyFont="1" applyBorder="1" applyAlignment="1">
      <alignment horizontal="center" vertical="center"/>
    </xf>
    <xf numFmtId="43" fontId="0" fillId="0" borderId="0" xfId="0" applyNumberFormat="1" applyFill="1" applyBorder="1"/>
    <xf numFmtId="4" fontId="102" fillId="0" borderId="15" xfId="0" applyNumberFormat="1" applyFont="1" applyFill="1" applyBorder="1" applyAlignment="1">
      <alignment horizontal="center"/>
    </xf>
    <xf numFmtId="4" fontId="99" fillId="0" borderId="0" xfId="0" applyNumberFormat="1" applyFont="1" applyFill="1" applyBorder="1" applyAlignment="1">
      <alignment horizontal="left" vertical="top" wrapText="1"/>
    </xf>
    <xf numFmtId="0" fontId="126" fillId="0" borderId="0" xfId="0" applyFont="1" applyAlignment="1">
      <alignment horizontal="center" wrapText="1"/>
    </xf>
    <xf numFmtId="0" fontId="56" fillId="0" borderId="0" xfId="123" applyFont="1" applyAlignment="1">
      <alignment horizontal="center"/>
    </xf>
    <xf numFmtId="0" fontId="31" fillId="0" borderId="21" xfId="123" applyFont="1" applyBorder="1" applyAlignment="1">
      <alignment horizontal="center" vertical="center" wrapText="1"/>
    </xf>
    <xf numFmtId="0" fontId="31" fillId="0" borderId="23" xfId="123" applyFont="1" applyBorder="1" applyAlignment="1">
      <alignment horizontal="center" vertical="center" wrapText="1"/>
    </xf>
    <xf numFmtId="0" fontId="41" fillId="0" borderId="0" xfId="123" applyFont="1" applyAlignment="1">
      <alignment horizontal="center"/>
    </xf>
    <xf numFmtId="0" fontId="53" fillId="0" borderId="0" xfId="123" applyFont="1" applyAlignment="1">
      <alignment horizontal="center"/>
    </xf>
    <xf numFmtId="0" fontId="3" fillId="0" borderId="0" xfId="123" applyFont="1" applyAlignment="1">
      <alignment horizontal="center"/>
    </xf>
    <xf numFmtId="4" fontId="37" fillId="32" borderId="102" xfId="123" applyNumberFormat="1" applyFont="1" applyFill="1" applyBorder="1" applyAlignment="1">
      <alignment horizontal="right"/>
    </xf>
    <xf numFmtId="4" fontId="37" fillId="32" borderId="105" xfId="123" applyNumberFormat="1" applyFont="1" applyFill="1" applyBorder="1" applyAlignment="1">
      <alignment horizontal="right"/>
    </xf>
    <xf numFmtId="0" fontId="31" fillId="0" borderId="21" xfId="123" applyFont="1" applyBorder="1" applyAlignment="1">
      <alignment horizontal="center"/>
    </xf>
    <xf numFmtId="0" fontId="31" fillId="0" borderId="23" xfId="123" applyFont="1" applyBorder="1" applyAlignment="1">
      <alignment horizontal="center"/>
    </xf>
    <xf numFmtId="0" fontId="31" fillId="0" borderId="106" xfId="123" applyFont="1" applyBorder="1" applyAlignment="1">
      <alignment horizontal="left" wrapText="1"/>
    </xf>
    <xf numFmtId="0" fontId="31" fillId="0" borderId="107" xfId="123" applyFont="1" applyBorder="1" applyAlignment="1">
      <alignment horizontal="left" wrapText="1"/>
    </xf>
    <xf numFmtId="4" fontId="37" fillId="0" borderId="108" xfId="123" applyNumberFormat="1" applyFont="1" applyBorder="1" applyAlignment="1">
      <alignment horizontal="right"/>
    </xf>
    <xf numFmtId="4" fontId="37" fillId="0" borderId="85" xfId="123" applyNumberFormat="1" applyFont="1" applyBorder="1" applyAlignment="1">
      <alignment horizontal="right"/>
    </xf>
    <xf numFmtId="4" fontId="37" fillId="0" borderId="29" xfId="123" applyNumberFormat="1" applyFont="1" applyBorder="1" applyAlignment="1">
      <alignment horizontal="right"/>
    </xf>
    <xf numFmtId="4" fontId="29" fillId="0" borderId="104" xfId="123" applyNumberFormat="1" applyFont="1" applyBorder="1" applyAlignment="1">
      <alignment horizontal="right"/>
    </xf>
    <xf numFmtId="4" fontId="29" fillId="0" borderId="28" xfId="123" applyNumberFormat="1" applyFont="1" applyBorder="1" applyAlignment="1">
      <alignment horizontal="right"/>
    </xf>
    <xf numFmtId="4" fontId="37" fillId="0" borderId="104" xfId="123" applyNumberFormat="1" applyFont="1" applyBorder="1" applyAlignment="1">
      <alignment horizontal="right" wrapText="1"/>
    </xf>
    <xf numFmtId="4" fontId="37" fillId="0" borderId="109" xfId="123" applyNumberFormat="1" applyFont="1" applyBorder="1" applyAlignment="1">
      <alignment horizontal="right" wrapText="1"/>
    </xf>
    <xf numFmtId="4" fontId="37" fillId="0" borderId="108" xfId="123" applyNumberFormat="1" applyFont="1" applyBorder="1" applyAlignment="1">
      <alignment horizontal="right" wrapText="1"/>
    </xf>
    <xf numFmtId="4" fontId="37" fillId="0" borderId="29" xfId="123" applyNumberFormat="1" applyFont="1" applyBorder="1" applyAlignment="1">
      <alignment horizontal="right" wrapText="1"/>
    </xf>
    <xf numFmtId="0" fontId="31" fillId="0" borderId="12" xfId="123" applyFont="1" applyBorder="1" applyAlignment="1">
      <alignment horizontal="left" wrapText="1"/>
    </xf>
    <xf numFmtId="0" fontId="31" fillId="0" borderId="14" xfId="123" applyFont="1" applyBorder="1" applyAlignment="1">
      <alignment horizontal="left" wrapText="1"/>
    </xf>
    <xf numFmtId="0" fontId="35" fillId="0" borderId="0" xfId="123" applyFont="1" applyAlignment="1">
      <alignment horizontal="right"/>
    </xf>
    <xf numFmtId="4" fontId="29" fillId="0" borderId="104" xfId="123" applyNumberFormat="1" applyFont="1" applyFill="1" applyBorder="1" applyAlignment="1">
      <alignment horizontal="right"/>
    </xf>
    <xf numFmtId="4" fontId="29" fillId="0" borderId="86" xfId="123" applyNumberFormat="1" applyFont="1" applyFill="1" applyBorder="1" applyAlignment="1">
      <alignment horizontal="right"/>
    </xf>
    <xf numFmtId="4" fontId="29" fillId="0" borderId="86" xfId="123" applyNumberFormat="1" applyFont="1" applyFill="1" applyBorder="1" applyAlignment="1">
      <alignment horizontal="center"/>
    </xf>
    <xf numFmtId="4" fontId="29" fillId="0" borderId="28" xfId="123" applyNumberFormat="1" applyFont="1" applyFill="1" applyBorder="1" applyAlignment="1">
      <alignment horizontal="center"/>
    </xf>
    <xf numFmtId="0" fontId="31" fillId="0" borderId="0" xfId="123" applyFont="1" applyAlignment="1">
      <alignment horizontal="right"/>
    </xf>
    <xf numFmtId="0" fontId="31" fillId="0" borderId="0" xfId="123" applyFont="1" applyBorder="1" applyAlignment="1">
      <alignment horizontal="right"/>
    </xf>
    <xf numFmtId="0" fontId="31" fillId="0" borderId="0" xfId="123" applyFont="1" applyAlignment="1">
      <alignment horizontal="center"/>
    </xf>
    <xf numFmtId="0" fontId="31" fillId="0" borderId="99" xfId="123" applyFont="1" applyBorder="1" applyAlignment="1">
      <alignment horizontal="center"/>
    </xf>
    <xf numFmtId="0" fontId="9" fillId="0" borderId="0" xfId="123" applyAlignment="1">
      <alignment horizontal="right"/>
    </xf>
    <xf numFmtId="0" fontId="9" fillId="0" borderId="99" xfId="123" applyBorder="1" applyAlignment="1">
      <alignment horizontal="right"/>
    </xf>
    <xf numFmtId="4" fontId="29" fillId="0" borderId="86" xfId="123" applyNumberFormat="1" applyFont="1" applyBorder="1" applyAlignment="1">
      <alignment horizontal="center"/>
    </xf>
    <xf numFmtId="4" fontId="29" fillId="0" borderId="28" xfId="123" applyNumberFormat="1" applyFont="1" applyBorder="1" applyAlignment="1">
      <alignment horizontal="center"/>
    </xf>
    <xf numFmtId="0" fontId="25" fillId="0" borderId="0" xfId="123" applyFont="1" applyAlignment="1">
      <alignment horizontal="center"/>
    </xf>
    <xf numFmtId="0" fontId="26" fillId="0" borderId="0" xfId="123" applyFont="1" applyFill="1" applyAlignment="1">
      <alignment horizontal="center"/>
    </xf>
    <xf numFmtId="0" fontId="27" fillId="0" borderId="0" xfId="123" applyFont="1" applyFill="1" applyAlignment="1">
      <alignment horizontal="center"/>
    </xf>
    <xf numFmtId="0" fontId="34" fillId="0" borderId="0" xfId="123" applyFont="1" applyAlignment="1">
      <alignment horizontal="left"/>
    </xf>
    <xf numFmtId="0" fontId="32" fillId="0" borderId="0" xfId="123" applyFont="1" applyAlignment="1">
      <alignment horizontal="left"/>
    </xf>
    <xf numFmtId="0" fontId="28" fillId="0" borderId="0" xfId="123" applyFont="1" applyAlignment="1">
      <alignment horizontal="left"/>
    </xf>
    <xf numFmtId="0" fontId="33" fillId="0" borderId="0" xfId="123" applyFont="1" applyAlignment="1">
      <alignment horizontal="right"/>
    </xf>
    <xf numFmtId="4" fontId="37" fillId="0" borderId="82" xfId="123" applyNumberFormat="1" applyFont="1" applyFill="1" applyBorder="1" applyAlignment="1">
      <alignment horizontal="right" vertical="center"/>
    </xf>
    <xf numFmtId="0" fontId="31" fillId="0" borderId="0" xfId="123" applyFont="1" applyAlignment="1">
      <alignment horizontal="right" vertical="top"/>
    </xf>
    <xf numFmtId="0" fontId="31" fillId="0" borderId="99" xfId="123" applyFont="1" applyBorder="1" applyAlignment="1">
      <alignment horizontal="right" vertical="top"/>
    </xf>
    <xf numFmtId="4" fontId="29" fillId="0" borderId="102" xfId="123" applyNumberFormat="1" applyFont="1" applyFill="1" applyBorder="1" applyAlignment="1">
      <alignment horizontal="right"/>
    </xf>
    <xf numFmtId="4" fontId="29" fillId="0" borderId="103" xfId="123" applyNumberFormat="1" applyFont="1" applyFill="1" applyBorder="1" applyAlignment="1">
      <alignment horizontal="right"/>
    </xf>
    <xf numFmtId="0" fontId="86" fillId="0" borderId="0" xfId="0" applyFont="1" applyBorder="1" applyAlignment="1">
      <alignment horizontal="left" vertical="center"/>
    </xf>
    <xf numFmtId="0" fontId="127" fillId="0" borderId="0" xfId="0" applyFont="1" applyBorder="1" applyAlignment="1">
      <alignment horizontal="center" vertical="center"/>
    </xf>
    <xf numFmtId="0" fontId="85" fillId="0" borderId="0" xfId="0" applyFont="1" applyBorder="1" applyAlignment="1">
      <alignment horizontal="center" vertical="center"/>
    </xf>
    <xf numFmtId="0" fontId="85" fillId="0" borderId="0" xfId="0" applyFont="1" applyBorder="1" applyAlignment="1">
      <alignment horizontal="center"/>
    </xf>
    <xf numFmtId="0" fontId="86" fillId="0" borderId="12" xfId="0" applyFont="1" applyBorder="1" applyAlignment="1">
      <alignment horizontal="left" vertical="center"/>
    </xf>
    <xf numFmtId="0" fontId="86" fillId="0" borderId="14" xfId="0" applyFont="1" applyBorder="1" applyAlignment="1">
      <alignment horizontal="left" vertical="center"/>
    </xf>
    <xf numFmtId="0" fontId="127" fillId="0" borderId="12" xfId="0" applyFont="1" applyBorder="1" applyAlignment="1">
      <alignment horizontal="center" vertical="center"/>
    </xf>
    <xf numFmtId="0" fontId="127" fillId="0" borderId="13" xfId="0" applyFont="1" applyBorder="1" applyAlignment="1">
      <alignment horizontal="center" vertical="center"/>
    </xf>
    <xf numFmtId="0" fontId="127" fillId="0" borderId="14" xfId="0" applyFont="1" applyBorder="1" applyAlignment="1">
      <alignment horizontal="center" vertical="center"/>
    </xf>
    <xf numFmtId="0" fontId="127" fillId="0" borderId="15" xfId="0" applyFont="1" applyBorder="1" applyAlignment="1">
      <alignment horizontal="center" vertical="center"/>
    </xf>
    <xf numFmtId="0" fontId="127" fillId="0" borderId="17" xfId="0" applyFont="1" applyBorder="1" applyAlignment="1">
      <alignment horizontal="center" vertical="center"/>
    </xf>
    <xf numFmtId="0" fontId="127" fillId="0" borderId="16" xfId="0" applyFont="1" applyBorder="1" applyAlignment="1">
      <alignment horizontal="center" vertical="center"/>
    </xf>
    <xf numFmtId="0" fontId="85" fillId="0" borderId="15" xfId="0" applyFont="1" applyBorder="1" applyAlignment="1">
      <alignment horizontal="center" vertical="center"/>
    </xf>
    <xf numFmtId="0" fontId="85" fillId="0" borderId="16" xfId="0" applyFont="1" applyBorder="1" applyAlignment="1">
      <alignment horizontal="center" vertical="center"/>
    </xf>
    <xf numFmtId="0" fontId="85" fillId="0" borderId="15" xfId="0" applyFont="1" applyBorder="1" applyAlignment="1">
      <alignment horizontal="center"/>
    </xf>
    <xf numFmtId="0" fontId="85" fillId="0" borderId="16" xfId="0" applyFont="1" applyBorder="1" applyAlignment="1">
      <alignment horizontal="center"/>
    </xf>
    <xf numFmtId="4" fontId="90" fillId="0" borderId="39" xfId="137" applyNumberFormat="1" applyFont="1" applyFill="1" applyBorder="1" applyAlignment="1">
      <alignment horizontal="left" wrapText="1"/>
    </xf>
    <xf numFmtId="4" fontId="90" fillId="0" borderId="40" xfId="137" applyNumberFormat="1" applyFont="1" applyFill="1" applyBorder="1" applyAlignment="1">
      <alignment horizontal="left" wrapText="1"/>
    </xf>
    <xf numFmtId="4" fontId="90" fillId="0" borderId="41" xfId="137" applyNumberFormat="1" applyFont="1" applyFill="1" applyBorder="1" applyAlignment="1">
      <alignment horizontal="left" wrapText="1"/>
    </xf>
    <xf numFmtId="0" fontId="90" fillId="0" borderId="39" xfId="137" applyFont="1" applyFill="1" applyBorder="1" applyAlignment="1">
      <alignment horizontal="center" wrapText="1"/>
    </xf>
    <xf numFmtId="0" fontId="90" fillId="0" borderId="40" xfId="137" applyFont="1" applyFill="1" applyBorder="1" applyAlignment="1">
      <alignment horizontal="center" wrapText="1"/>
    </xf>
    <xf numFmtId="0" fontId="90" fillId="0" borderId="41" xfId="137" applyFont="1" applyFill="1" applyBorder="1" applyAlignment="1">
      <alignment horizontal="center" wrapText="1"/>
    </xf>
    <xf numFmtId="0" fontId="90" fillId="0" borderId="182" xfId="137" applyFont="1" applyFill="1" applyBorder="1" applyAlignment="1">
      <alignment horizontal="center" wrapText="1"/>
    </xf>
    <xf numFmtId="0" fontId="90" fillId="0" borderId="197" xfId="137" applyFont="1" applyFill="1" applyBorder="1" applyAlignment="1">
      <alignment horizontal="center" wrapText="1"/>
    </xf>
    <xf numFmtId="0" fontId="90" fillId="0" borderId="183" xfId="137" applyFont="1" applyFill="1" applyBorder="1" applyAlignment="1">
      <alignment horizontal="center" wrapText="1"/>
    </xf>
    <xf numFmtId="0" fontId="90" fillId="0" borderId="190" xfId="137" applyFont="1" applyFill="1" applyBorder="1" applyAlignment="1">
      <alignment horizontal="center" wrapText="1"/>
    </xf>
    <xf numFmtId="0" fontId="90" fillId="0" borderId="191" xfId="137" applyFont="1" applyFill="1" applyBorder="1" applyAlignment="1">
      <alignment horizontal="center" wrapText="1"/>
    </xf>
    <xf numFmtId="0" fontId="90" fillId="0" borderId="192" xfId="137" applyFont="1" applyFill="1" applyBorder="1" applyAlignment="1">
      <alignment horizontal="center" wrapText="1"/>
    </xf>
    <xf numFmtId="0" fontId="67" fillId="24" borderId="42" xfId="0" applyFont="1" applyFill="1" applyBorder="1" applyAlignment="1">
      <alignment horizontal="left" vertical="top" wrapText="1"/>
    </xf>
    <xf numFmtId="0" fontId="67" fillId="24" borderId="43" xfId="0" applyFont="1" applyFill="1" applyBorder="1" applyAlignment="1">
      <alignment horizontal="left" vertical="top" wrapText="1"/>
    </xf>
    <xf numFmtId="0" fontId="67" fillId="24" borderId="44" xfId="0" applyFont="1" applyFill="1" applyBorder="1" applyAlignment="1">
      <alignment horizontal="left" vertical="top" wrapText="1"/>
    </xf>
    <xf numFmtId="0" fontId="66" fillId="24" borderId="42" xfId="0" applyFont="1" applyFill="1" applyBorder="1" applyAlignment="1">
      <alignment horizontal="left" vertical="top" wrapText="1"/>
    </xf>
    <xf numFmtId="0" fontId="66" fillId="24" borderId="43" xfId="0" applyFont="1" applyFill="1" applyBorder="1" applyAlignment="1">
      <alignment horizontal="left" vertical="top" wrapText="1"/>
    </xf>
    <xf numFmtId="0" fontId="66" fillId="24" borderId="44" xfId="0" applyFont="1" applyFill="1" applyBorder="1" applyAlignment="1">
      <alignment horizontal="left" vertical="top" wrapText="1"/>
    </xf>
    <xf numFmtId="0" fontId="67" fillId="24" borderId="190" xfId="0" applyFont="1" applyFill="1" applyBorder="1" applyAlignment="1">
      <alignment horizontal="left" vertical="top" wrapText="1"/>
    </xf>
    <xf numFmtId="0" fontId="67" fillId="24" borderId="191" xfId="0" applyFont="1" applyFill="1" applyBorder="1" applyAlignment="1">
      <alignment horizontal="left" vertical="top" wrapText="1"/>
    </xf>
    <xf numFmtId="0" fontId="67" fillId="24" borderId="192" xfId="0" applyFont="1" applyFill="1" applyBorder="1" applyAlignment="1">
      <alignment horizontal="left" vertical="top" wrapText="1"/>
    </xf>
    <xf numFmtId="0" fontId="95" fillId="31" borderId="39" xfId="137" applyFont="1" applyFill="1" applyBorder="1" applyAlignment="1">
      <alignment horizontal="center" wrapText="1"/>
    </xf>
    <xf numFmtId="0" fontId="95" fillId="31" borderId="40" xfId="137" applyFont="1" applyFill="1" applyBorder="1" applyAlignment="1">
      <alignment horizontal="center" wrapText="1"/>
    </xf>
    <xf numFmtId="0" fontId="95" fillId="31" borderId="41" xfId="137" applyFont="1" applyFill="1" applyBorder="1" applyAlignment="1">
      <alignment horizontal="center" wrapText="1"/>
    </xf>
    <xf numFmtId="0" fontId="93" fillId="0" borderId="39" xfId="137" applyFont="1" applyFill="1" applyBorder="1" applyAlignment="1">
      <alignment horizontal="center" wrapText="1"/>
    </xf>
    <xf numFmtId="0" fontId="93" fillId="0" borderId="40" xfId="137" applyFont="1" applyFill="1" applyBorder="1" applyAlignment="1">
      <alignment horizontal="center" wrapText="1"/>
    </xf>
    <xf numFmtId="0" fontId="93" fillId="0" borderId="41" xfId="137" applyFont="1" applyFill="1" applyBorder="1" applyAlignment="1">
      <alignment horizontal="center" wrapText="1"/>
    </xf>
    <xf numFmtId="0" fontId="93" fillId="0" borderId="65" xfId="137" applyFont="1" applyFill="1" applyBorder="1" applyAlignment="1">
      <alignment horizontal="center"/>
    </xf>
    <xf numFmtId="0" fontId="93" fillId="0" borderId="66" xfId="137" applyFont="1" applyFill="1" applyBorder="1" applyAlignment="1">
      <alignment horizontal="center"/>
    </xf>
    <xf numFmtId="0" fontId="93" fillId="0" borderId="67" xfId="137" applyFont="1" applyFill="1" applyBorder="1" applyAlignment="1">
      <alignment horizontal="center"/>
    </xf>
    <xf numFmtId="4" fontId="66" fillId="0" borderId="39" xfId="139" applyNumberFormat="1" applyFont="1" applyFill="1" applyBorder="1" applyAlignment="1">
      <alignment horizontal="center" vertical="top" wrapText="1"/>
    </xf>
    <xf numFmtId="4" fontId="66" fillId="0" borderId="40" xfId="139" applyNumberFormat="1" applyFont="1" applyFill="1" applyBorder="1" applyAlignment="1">
      <alignment horizontal="center" vertical="top" wrapText="1"/>
    </xf>
    <xf numFmtId="4" fontId="66" fillId="0" borderId="41" xfId="139" applyNumberFormat="1" applyFont="1" applyFill="1" applyBorder="1" applyAlignment="1">
      <alignment horizontal="center" vertical="top" wrapText="1"/>
    </xf>
    <xf numFmtId="4" fontId="67" fillId="0" borderId="39" xfId="139" applyNumberFormat="1" applyFont="1" applyFill="1" applyBorder="1" applyAlignment="1">
      <alignment horizontal="center" vertical="top" wrapText="1"/>
    </xf>
    <xf numFmtId="4" fontId="67" fillId="0" borderId="40" xfId="139" applyNumberFormat="1" applyFont="1" applyFill="1" applyBorder="1" applyAlignment="1">
      <alignment horizontal="center" vertical="top" wrapText="1"/>
    </xf>
    <xf numFmtId="4" fontId="67" fillId="0" borderId="41" xfId="139" applyNumberFormat="1" applyFont="1" applyFill="1" applyBorder="1" applyAlignment="1">
      <alignment horizontal="center" vertical="top" wrapText="1"/>
    </xf>
    <xf numFmtId="4" fontId="67" fillId="24" borderId="61" xfId="139" applyNumberFormat="1" applyFont="1" applyFill="1" applyBorder="1" applyAlignment="1">
      <alignment horizontal="center" vertical="top" wrapText="1"/>
    </xf>
    <xf numFmtId="4" fontId="67" fillId="24" borderId="62" xfId="139" applyNumberFormat="1" applyFont="1" applyFill="1" applyBorder="1" applyAlignment="1">
      <alignment horizontal="center" vertical="top" wrapText="1"/>
    </xf>
    <xf numFmtId="4" fontId="67" fillId="24" borderId="63" xfId="139" applyNumberFormat="1" applyFont="1" applyFill="1" applyBorder="1" applyAlignment="1">
      <alignment horizontal="center" vertical="top" wrapText="1"/>
    </xf>
    <xf numFmtId="0" fontId="90" fillId="0" borderId="113" xfId="137" applyFont="1" applyFill="1" applyBorder="1" applyAlignment="1">
      <alignment horizontal="center" vertical="center" wrapText="1"/>
    </xf>
    <xf numFmtId="0" fontId="90" fillId="0" borderId="114" xfId="137" applyFont="1" applyFill="1" applyBorder="1" applyAlignment="1">
      <alignment horizontal="center" vertical="center" wrapText="1"/>
    </xf>
    <xf numFmtId="0" fontId="90" fillId="0" borderId="115" xfId="137" applyFont="1" applyFill="1" applyBorder="1" applyAlignment="1">
      <alignment horizontal="center" vertical="center" wrapText="1"/>
    </xf>
    <xf numFmtId="0" fontId="90" fillId="0" borderId="54" xfId="137" applyFont="1" applyFill="1" applyBorder="1" applyAlignment="1">
      <alignment horizontal="center"/>
    </xf>
    <xf numFmtId="0" fontId="90" fillId="0" borderId="55" xfId="137" applyFont="1" applyFill="1" applyBorder="1" applyAlignment="1">
      <alignment horizontal="center"/>
    </xf>
    <xf numFmtId="0" fontId="90" fillId="0" borderId="56" xfId="137" applyFont="1" applyFill="1" applyBorder="1" applyAlignment="1">
      <alignment horizontal="center"/>
    </xf>
    <xf numFmtId="0" fontId="90" fillId="0" borderId="51" xfId="137" applyFont="1" applyFill="1" applyBorder="1" applyAlignment="1">
      <alignment horizontal="center"/>
    </xf>
    <xf numFmtId="0" fontId="90" fillId="0" borderId="52" xfId="137" applyFont="1" applyFill="1" applyBorder="1" applyAlignment="1">
      <alignment horizontal="center"/>
    </xf>
    <xf numFmtId="0" fontId="90" fillId="0" borderId="116" xfId="137" applyFont="1" applyFill="1" applyBorder="1" applyAlignment="1">
      <alignment horizontal="center"/>
    </xf>
    <xf numFmtId="0" fontId="90" fillId="0" borderId="53" xfId="137" applyFont="1" applyFill="1" applyBorder="1" applyAlignment="1">
      <alignment horizontal="center"/>
    </xf>
    <xf numFmtId="0" fontId="66" fillId="31" borderId="39" xfId="0" applyFont="1" applyFill="1" applyBorder="1" applyAlignment="1">
      <alignment horizontal="center" vertical="top" wrapText="1"/>
    </xf>
    <xf numFmtId="0" fontId="66" fillId="31" borderId="40" xfId="0" applyFont="1" applyFill="1" applyBorder="1" applyAlignment="1">
      <alignment horizontal="center" vertical="top" wrapText="1"/>
    </xf>
    <xf numFmtId="0" fontId="66" fillId="31" borderId="41" xfId="0" applyFont="1" applyFill="1" applyBorder="1" applyAlignment="1">
      <alignment horizontal="center" vertical="top" wrapText="1"/>
    </xf>
    <xf numFmtId="0" fontId="90" fillId="0" borderId="18" xfId="137" applyFont="1" applyFill="1" applyBorder="1" applyAlignment="1">
      <alignment horizontal="center"/>
    </xf>
    <xf numFmtId="0" fontId="90" fillId="0" borderId="0" xfId="137" applyFont="1" applyFill="1" applyBorder="1" applyAlignment="1">
      <alignment horizontal="center"/>
    </xf>
    <xf numFmtId="0" fontId="90" fillId="0" borderId="19" xfId="137" applyFont="1" applyFill="1" applyBorder="1" applyAlignment="1">
      <alignment horizontal="center"/>
    </xf>
    <xf numFmtId="0" fontId="90" fillId="0" borderId="15" xfId="137" applyFont="1" applyFill="1" applyBorder="1" applyAlignment="1">
      <alignment horizontal="center"/>
    </xf>
    <xf numFmtId="0" fontId="90" fillId="0" borderId="17" xfId="137" applyFont="1" applyFill="1" applyBorder="1" applyAlignment="1">
      <alignment horizontal="center"/>
    </xf>
    <xf numFmtId="0" fontId="90" fillId="0" borderId="16" xfId="137" applyFont="1" applyFill="1" applyBorder="1" applyAlignment="1">
      <alignment horizontal="center"/>
    </xf>
    <xf numFmtId="0" fontId="90" fillId="0" borderId="39" xfId="137" applyFont="1" applyFill="1" applyBorder="1" applyAlignment="1">
      <alignment horizontal="left"/>
    </xf>
    <xf numFmtId="0" fontId="90" fillId="0" borderId="40" xfId="137" applyFont="1" applyFill="1" applyBorder="1" applyAlignment="1">
      <alignment horizontal="left"/>
    </xf>
    <xf numFmtId="0" fontId="90" fillId="0" borderId="41" xfId="137" applyFont="1" applyFill="1" applyBorder="1" applyAlignment="1">
      <alignment horizontal="left"/>
    </xf>
    <xf numFmtId="0" fontId="67" fillId="24" borderId="162" xfId="0" applyFont="1" applyFill="1" applyBorder="1" applyAlignment="1">
      <alignment horizontal="left" vertical="top" wrapText="1"/>
    </xf>
    <xf numFmtId="0" fontId="67" fillId="24" borderId="132" xfId="0" applyFont="1" applyFill="1" applyBorder="1" applyAlignment="1">
      <alignment horizontal="left" vertical="top" wrapText="1"/>
    </xf>
    <xf numFmtId="0" fontId="67" fillId="24" borderId="161" xfId="0" applyFont="1" applyFill="1" applyBorder="1" applyAlignment="1">
      <alignment horizontal="left" vertical="top" wrapText="1"/>
    </xf>
    <xf numFmtId="0" fontId="93" fillId="29" borderId="39" xfId="137" applyFont="1" applyFill="1" applyBorder="1" applyAlignment="1">
      <alignment horizontal="left"/>
    </xf>
    <xf numFmtId="0" fontId="93" fillId="29" borderId="40" xfId="137" applyFont="1" applyFill="1" applyBorder="1" applyAlignment="1">
      <alignment horizontal="left"/>
    </xf>
    <xf numFmtId="0" fontId="93" fillId="29" borderId="41" xfId="137" applyFont="1" applyFill="1" applyBorder="1" applyAlignment="1">
      <alignment horizontal="left"/>
    </xf>
    <xf numFmtId="0" fontId="90" fillId="29" borderId="39" xfId="137" applyFont="1" applyFill="1" applyBorder="1" applyAlignment="1">
      <alignment horizontal="left"/>
    </xf>
    <xf numFmtId="0" fontId="90" fillId="29" borderId="40" xfId="137" applyFont="1" applyFill="1" applyBorder="1" applyAlignment="1">
      <alignment horizontal="left"/>
    </xf>
    <xf numFmtId="0" fontId="90" fillId="29" borderId="41" xfId="137" applyFont="1" applyFill="1" applyBorder="1" applyAlignment="1">
      <alignment horizontal="left"/>
    </xf>
    <xf numFmtId="0" fontId="93" fillId="31" borderId="39" xfId="137" applyFont="1" applyFill="1" applyBorder="1" applyAlignment="1">
      <alignment horizontal="left"/>
    </xf>
    <xf numFmtId="0" fontId="93" fillId="31" borderId="40" xfId="137" applyFont="1" applyFill="1" applyBorder="1" applyAlignment="1">
      <alignment horizontal="left"/>
    </xf>
    <xf numFmtId="0" fontId="93" fillId="31" borderId="41" xfId="137" applyFont="1" applyFill="1" applyBorder="1" applyAlignment="1">
      <alignment horizontal="left"/>
    </xf>
    <xf numFmtId="0" fontId="67" fillId="24" borderId="39" xfId="0" applyFont="1" applyFill="1" applyBorder="1" applyAlignment="1">
      <alignment horizontal="left" vertical="top" wrapText="1"/>
    </xf>
    <xf numFmtId="0" fontId="67" fillId="24" borderId="40" xfId="0" applyFont="1" applyFill="1" applyBorder="1" applyAlignment="1">
      <alignment horizontal="left" vertical="top" wrapText="1"/>
    </xf>
    <xf numFmtId="0" fontId="67" fillId="24" borderId="41" xfId="0" applyFont="1" applyFill="1" applyBorder="1" applyAlignment="1">
      <alignment horizontal="left" vertical="top" wrapText="1"/>
    </xf>
    <xf numFmtId="4" fontId="99" fillId="0" borderId="0" xfId="0" applyNumberFormat="1" applyFont="1" applyFill="1" applyBorder="1" applyAlignment="1">
      <alignment horizontal="left"/>
    </xf>
    <xf numFmtId="4" fontId="99" fillId="0" borderId="19" xfId="0" applyNumberFormat="1" applyFont="1" applyFill="1" applyBorder="1" applyAlignment="1">
      <alignment horizontal="left"/>
    </xf>
    <xf numFmtId="0" fontId="90" fillId="0" borderId="90" xfId="137" applyFont="1" applyFill="1" applyBorder="1" applyAlignment="1">
      <alignment horizontal="center" wrapText="1"/>
    </xf>
    <xf numFmtId="4" fontId="99" fillId="0" borderId="18" xfId="0" applyNumberFormat="1" applyFont="1" applyFill="1" applyBorder="1" applyAlignment="1">
      <alignment horizontal="center"/>
    </xf>
    <xf numFmtId="4" fontId="99" fillId="0" borderId="0" xfId="0" applyNumberFormat="1" applyFont="1" applyFill="1" applyBorder="1" applyAlignment="1">
      <alignment horizontal="center"/>
    </xf>
    <xf numFmtId="4" fontId="99" fillId="0" borderId="19" xfId="0" applyNumberFormat="1" applyFont="1" applyFill="1" applyBorder="1" applyAlignment="1">
      <alignment horizontal="center"/>
    </xf>
    <xf numFmtId="0" fontId="90" fillId="0" borderId="113" xfId="137" applyFont="1" applyFill="1" applyBorder="1" applyAlignment="1">
      <alignment vertical="top" wrapText="1"/>
    </xf>
    <xf numFmtId="0" fontId="90" fillId="0" borderId="114" xfId="137" applyFont="1" applyFill="1" applyBorder="1" applyAlignment="1">
      <alignment vertical="top" wrapText="1"/>
    </xf>
    <xf numFmtId="0" fontId="90" fillId="0" borderId="115" xfId="137" applyFont="1" applyFill="1" applyBorder="1" applyAlignment="1">
      <alignment vertical="top" wrapText="1"/>
    </xf>
    <xf numFmtId="0" fontId="90" fillId="0" borderId="39" xfId="137" applyFont="1" applyFill="1" applyBorder="1" applyAlignment="1">
      <alignment horizontal="center"/>
    </xf>
    <xf numFmtId="0" fontId="90" fillId="0" borderId="40" xfId="137" applyFont="1" applyFill="1" applyBorder="1" applyAlignment="1">
      <alignment horizontal="center"/>
    </xf>
    <xf numFmtId="0" fontId="90" fillId="0" borderId="41" xfId="137" applyFont="1" applyFill="1" applyBorder="1" applyAlignment="1">
      <alignment horizontal="center"/>
    </xf>
    <xf numFmtId="0" fontId="90" fillId="0" borderId="42" xfId="137" applyFont="1" applyFill="1" applyBorder="1" applyAlignment="1">
      <alignment horizontal="left" vertical="top" wrapText="1"/>
    </xf>
    <xf numFmtId="0" fontId="90" fillId="0" borderId="43" xfId="137" applyFont="1" applyFill="1" applyBorder="1" applyAlignment="1">
      <alignment horizontal="left" vertical="top" wrapText="1"/>
    </xf>
    <xf numFmtId="0" fontId="90" fillId="0" borderId="44" xfId="137" applyFont="1" applyFill="1" applyBorder="1" applyAlignment="1">
      <alignment horizontal="left" vertical="top" wrapText="1"/>
    </xf>
    <xf numFmtId="0" fontId="90" fillId="0" borderId="61" xfId="137" applyFont="1" applyFill="1" applyBorder="1" applyAlignment="1">
      <alignment horizontal="left" vertical="top" wrapText="1"/>
    </xf>
    <xf numFmtId="0" fontId="90" fillId="0" borderId="62" xfId="137" applyFont="1" applyFill="1" applyBorder="1" applyAlignment="1">
      <alignment horizontal="left" vertical="top" wrapText="1"/>
    </xf>
    <xf numFmtId="0" fontId="90" fillId="0" borderId="63" xfId="137" applyFont="1" applyFill="1" applyBorder="1" applyAlignment="1">
      <alignment horizontal="left" vertical="top" wrapText="1"/>
    </xf>
    <xf numFmtId="0" fontId="90" fillId="0" borderId="18" xfId="137" applyFont="1" applyFill="1" applyBorder="1" applyAlignment="1">
      <alignment horizontal="left" vertical="top" wrapText="1"/>
    </xf>
    <xf numFmtId="0" fontId="90" fillId="0" borderId="0" xfId="137" applyFont="1" applyFill="1" applyBorder="1" applyAlignment="1">
      <alignment horizontal="left" vertical="top" wrapText="1"/>
    </xf>
    <xf numFmtId="0" fontId="90" fillId="0" borderId="19" xfId="137" applyFont="1" applyFill="1" applyBorder="1" applyAlignment="1">
      <alignment horizontal="left" vertical="top" wrapText="1"/>
    </xf>
    <xf numFmtId="0" fontId="90" fillId="29" borderId="42" xfId="137" applyFont="1" applyFill="1" applyBorder="1" applyAlignment="1">
      <alignment horizontal="left" vertical="top" wrapText="1"/>
    </xf>
    <xf numFmtId="0" fontId="90" fillId="29" borderId="43" xfId="137" applyFont="1" applyFill="1" applyBorder="1" applyAlignment="1">
      <alignment horizontal="left" vertical="top" wrapText="1"/>
    </xf>
    <xf numFmtId="0" fontId="90" fillId="29" borderId="44" xfId="137" applyFont="1" applyFill="1" applyBorder="1" applyAlignment="1">
      <alignment horizontal="left" vertical="top" wrapText="1"/>
    </xf>
    <xf numFmtId="0" fontId="90" fillId="29" borderId="18" xfId="137" applyFont="1" applyFill="1" applyBorder="1" applyAlignment="1">
      <alignment horizontal="left" vertical="top" wrapText="1"/>
    </xf>
    <xf numFmtId="0" fontId="90" fillId="29" borderId="0" xfId="137" applyFont="1" applyFill="1" applyBorder="1" applyAlignment="1">
      <alignment horizontal="left" vertical="top" wrapText="1"/>
    </xf>
    <xf numFmtId="0" fontId="90" fillId="29" borderId="19" xfId="137" applyFont="1" applyFill="1" applyBorder="1" applyAlignment="1">
      <alignment horizontal="left" vertical="top" wrapText="1"/>
    </xf>
    <xf numFmtId="0" fontId="90" fillId="29" borderId="61" xfId="137" applyFont="1" applyFill="1" applyBorder="1" applyAlignment="1">
      <alignment horizontal="left" vertical="top" wrapText="1"/>
    </xf>
    <xf numFmtId="0" fontId="90" fillId="29" borderId="62" xfId="137" applyFont="1" applyFill="1" applyBorder="1" applyAlignment="1">
      <alignment horizontal="left" vertical="top" wrapText="1"/>
    </xf>
    <xf numFmtId="0" fontId="90" fillId="29" borderId="63" xfId="137" applyFont="1" applyFill="1" applyBorder="1" applyAlignment="1">
      <alignment horizontal="left" vertical="top" wrapText="1"/>
    </xf>
    <xf numFmtId="166" fontId="67" fillId="24" borderId="39" xfId="0" applyNumberFormat="1" applyFont="1" applyFill="1" applyBorder="1" applyAlignment="1" applyProtection="1">
      <alignment horizontal="left" vertical="top"/>
    </xf>
    <xf numFmtId="166" fontId="67" fillId="24" borderId="40" xfId="0" applyNumberFormat="1" applyFont="1" applyFill="1" applyBorder="1" applyAlignment="1" applyProtection="1">
      <alignment horizontal="left" vertical="top"/>
    </xf>
    <xf numFmtId="166" fontId="67" fillId="24" borderId="41" xfId="0" applyNumberFormat="1" applyFont="1" applyFill="1" applyBorder="1" applyAlignment="1" applyProtection="1">
      <alignment horizontal="left" vertical="top"/>
    </xf>
    <xf numFmtId="0" fontId="93" fillId="0" borderId="39" xfId="137" applyFont="1" applyFill="1" applyBorder="1" applyAlignment="1">
      <alignment horizontal="left"/>
    </xf>
    <xf numFmtId="0" fontId="93" fillId="0" borderId="40" xfId="137" applyFont="1" applyFill="1" applyBorder="1" applyAlignment="1">
      <alignment horizontal="left"/>
    </xf>
    <xf numFmtId="0" fontId="93" fillId="0" borderId="41" xfId="137" applyFont="1" applyFill="1" applyBorder="1" applyAlignment="1">
      <alignment horizontal="left"/>
    </xf>
    <xf numFmtId="0" fontId="90" fillId="0" borderId="45" xfId="137" applyFont="1" applyFill="1" applyBorder="1" applyAlignment="1">
      <alignment horizontal="center" vertical="top"/>
    </xf>
    <xf numFmtId="0" fontId="90" fillId="0" borderId="86" xfId="137" applyFont="1" applyFill="1" applyBorder="1" applyAlignment="1">
      <alignment horizontal="center" vertical="top"/>
    </xf>
    <xf numFmtId="0" fontId="90" fillId="0" borderId="58" xfId="137" applyFont="1" applyFill="1" applyBorder="1" applyAlignment="1">
      <alignment horizontal="center" vertical="top"/>
    </xf>
    <xf numFmtId="166" fontId="66" fillId="24" borderId="39" xfId="0" applyNumberFormat="1" applyFont="1" applyFill="1" applyBorder="1" applyAlignment="1" applyProtection="1">
      <alignment horizontal="center" vertical="top" wrapText="1"/>
    </xf>
    <xf numFmtId="166" fontId="66" fillId="24" borderId="40" xfId="0" applyNumberFormat="1" applyFont="1" applyFill="1" applyBorder="1" applyAlignment="1" applyProtection="1">
      <alignment horizontal="center" vertical="top" wrapText="1"/>
    </xf>
    <xf numFmtId="166" fontId="66" fillId="24" borderId="41" xfId="0" applyNumberFormat="1" applyFont="1" applyFill="1" applyBorder="1" applyAlignment="1" applyProtection="1">
      <alignment horizontal="center" vertical="top" wrapText="1"/>
    </xf>
    <xf numFmtId="166" fontId="67" fillId="24" borderId="39" xfId="0" applyNumberFormat="1" applyFont="1" applyFill="1" applyBorder="1" applyAlignment="1" applyProtection="1">
      <alignment horizontal="center" vertical="top"/>
    </xf>
    <xf numFmtId="166" fontId="67" fillId="24" borderId="40" xfId="0" applyNumberFormat="1" applyFont="1" applyFill="1" applyBorder="1" applyAlignment="1" applyProtection="1">
      <alignment horizontal="center" vertical="top"/>
    </xf>
    <xf numFmtId="166" fontId="67" fillId="24" borderId="41" xfId="0" applyNumberFormat="1" applyFont="1" applyFill="1" applyBorder="1" applyAlignment="1" applyProtection="1">
      <alignment horizontal="center" vertical="top"/>
    </xf>
    <xf numFmtId="0" fontId="93" fillId="0" borderId="39" xfId="137" applyFont="1" applyFill="1" applyBorder="1" applyAlignment="1">
      <alignment horizontal="center"/>
    </xf>
    <xf numFmtId="0" fontId="93" fillId="0" borderId="40" xfId="137" applyFont="1" applyFill="1" applyBorder="1" applyAlignment="1">
      <alignment horizontal="center"/>
    </xf>
    <xf numFmtId="0" fontId="93" fillId="0" borderId="41" xfId="137" applyFont="1" applyFill="1" applyBorder="1" applyAlignment="1">
      <alignment horizontal="center"/>
    </xf>
    <xf numFmtId="0" fontId="90" fillId="0" borderId="39" xfId="137" applyFont="1" applyFill="1" applyBorder="1" applyAlignment="1">
      <alignment horizontal="left" vertical="top" wrapText="1"/>
    </xf>
    <xf numFmtId="0" fontId="90" fillId="0" borderId="40" xfId="137" applyFont="1" applyFill="1" applyBorder="1" applyAlignment="1">
      <alignment horizontal="left" vertical="top" wrapText="1"/>
    </xf>
    <xf numFmtId="0" fontId="90" fillId="0" borderId="41" xfId="137" applyFont="1" applyFill="1" applyBorder="1" applyAlignment="1">
      <alignment horizontal="left" vertical="top" wrapText="1"/>
    </xf>
    <xf numFmtId="0" fontId="92" fillId="0" borderId="74" xfId="137" applyFont="1" applyFill="1" applyBorder="1" applyAlignment="1">
      <alignment horizontal="left"/>
    </xf>
    <xf numFmtId="0" fontId="92" fillId="0" borderId="75" xfId="137" applyFont="1" applyFill="1" applyBorder="1" applyAlignment="1">
      <alignment horizontal="left"/>
    </xf>
    <xf numFmtId="0" fontId="92" fillId="0" borderId="76" xfId="137" applyFont="1" applyFill="1" applyBorder="1" applyAlignment="1">
      <alignment horizontal="left"/>
    </xf>
    <xf numFmtId="4" fontId="90" fillId="0" borderId="39" xfId="137" applyNumberFormat="1" applyFont="1" applyFill="1" applyBorder="1" applyAlignment="1">
      <alignment horizontal="center" wrapText="1"/>
    </xf>
    <xf numFmtId="4" fontId="90" fillId="0" borderId="40" xfId="137" applyNumberFormat="1" applyFont="1" applyFill="1" applyBorder="1" applyAlignment="1">
      <alignment horizontal="center" wrapText="1"/>
    </xf>
    <xf numFmtId="4" fontId="90" fillId="0" borderId="41" xfId="137" applyNumberFormat="1" applyFont="1" applyFill="1" applyBorder="1" applyAlignment="1">
      <alignment horizontal="center" wrapText="1"/>
    </xf>
    <xf numFmtId="4" fontId="90" fillId="0" borderId="39" xfId="137" applyNumberFormat="1" applyFont="1" applyFill="1" applyBorder="1" applyAlignment="1">
      <alignment horizontal="center"/>
    </xf>
    <xf numFmtId="4" fontId="90" fillId="0" borderId="40" xfId="137" applyNumberFormat="1" applyFont="1" applyFill="1" applyBorder="1" applyAlignment="1">
      <alignment horizontal="center"/>
    </xf>
    <xf numFmtId="4" fontId="90" fillId="0" borderId="41" xfId="137" applyNumberFormat="1" applyFont="1" applyFill="1" applyBorder="1" applyAlignment="1">
      <alignment horizontal="center"/>
    </xf>
    <xf numFmtId="4" fontId="106" fillId="0" borderId="42" xfId="137" applyNumberFormat="1" applyFont="1" applyFill="1" applyBorder="1" applyAlignment="1">
      <alignment wrapText="1"/>
    </xf>
    <xf numFmtId="4" fontId="106" fillId="0" borderId="43" xfId="137" applyNumberFormat="1" applyFont="1" applyFill="1" applyBorder="1" applyAlignment="1">
      <alignment wrapText="1"/>
    </xf>
    <xf numFmtId="4" fontId="106" fillId="0" borderId="44" xfId="137" applyNumberFormat="1" applyFont="1" applyFill="1" applyBorder="1" applyAlignment="1">
      <alignment wrapText="1"/>
    </xf>
    <xf numFmtId="4" fontId="131" fillId="0" borderId="154" xfId="137" applyNumberFormat="1" applyFont="1" applyFill="1" applyBorder="1" applyAlignment="1">
      <alignment horizontal="left" vertical="top" wrapText="1"/>
    </xf>
    <xf numFmtId="4" fontId="131" fillId="0" borderId="40" xfId="137" applyNumberFormat="1" applyFont="1" applyFill="1" applyBorder="1" applyAlignment="1">
      <alignment horizontal="left" vertical="top" wrapText="1"/>
    </xf>
    <xf numFmtId="0" fontId="90" fillId="0" borderId="39" xfId="137" applyFont="1" applyFill="1" applyBorder="1" applyAlignment="1">
      <alignment horizontal="left" wrapText="1"/>
    </xf>
    <xf numFmtId="0" fontId="90" fillId="0" borderId="40" xfId="137" applyFont="1" applyFill="1" applyBorder="1" applyAlignment="1">
      <alignment horizontal="left" wrapText="1"/>
    </xf>
    <xf numFmtId="0" fontId="90" fillId="0" borderId="41" xfId="137" applyFont="1" applyFill="1" applyBorder="1" applyAlignment="1">
      <alignment horizontal="left" wrapText="1"/>
    </xf>
    <xf numFmtId="4" fontId="99" fillId="0" borderId="61" xfId="0" applyNumberFormat="1" applyFont="1" applyFill="1" applyBorder="1" applyAlignment="1">
      <alignment horizontal="center"/>
    </xf>
    <xf numFmtId="4" fontId="99" fillId="0" borderId="62" xfId="0" applyNumberFormat="1" applyFont="1" applyFill="1" applyBorder="1" applyAlignment="1">
      <alignment horizontal="center"/>
    </xf>
    <xf numFmtId="4" fontId="99" fillId="0" borderId="63" xfId="0" applyNumberFormat="1" applyFont="1" applyFill="1" applyBorder="1" applyAlignment="1">
      <alignment horizontal="center"/>
    </xf>
    <xf numFmtId="4" fontId="62" fillId="0" borderId="154" xfId="137" applyNumberFormat="1" applyFont="1" applyFill="1" applyBorder="1" applyAlignment="1">
      <alignment horizontal="left" vertical="top" wrapText="1"/>
    </xf>
    <xf numFmtId="4" fontId="62" fillId="0" borderId="40" xfId="137" applyNumberFormat="1" applyFont="1" applyFill="1" applyBorder="1" applyAlignment="1">
      <alignment horizontal="left" vertical="top" wrapText="1"/>
    </xf>
    <xf numFmtId="4" fontId="106" fillId="0" borderId="18" xfId="137" applyNumberFormat="1" applyFont="1" applyFill="1" applyBorder="1" applyAlignment="1">
      <alignment horizontal="left" wrapText="1"/>
    </xf>
    <xf numFmtId="4" fontId="106" fillId="0" borderId="0" xfId="137" applyNumberFormat="1" applyFont="1" applyFill="1" applyBorder="1" applyAlignment="1">
      <alignment horizontal="left" wrapText="1"/>
    </xf>
    <xf numFmtId="4" fontId="106" fillId="0" borderId="19" xfId="137" applyNumberFormat="1" applyFont="1" applyFill="1" applyBorder="1" applyAlignment="1">
      <alignment horizontal="left" wrapText="1"/>
    </xf>
    <xf numFmtId="0" fontId="113" fillId="0" borderId="39" xfId="137" applyFont="1" applyFill="1" applyBorder="1" applyAlignment="1">
      <alignment horizontal="center"/>
    </xf>
    <xf numFmtId="0" fontId="113" fillId="0" borderId="40" xfId="137" applyFont="1" applyFill="1" applyBorder="1" applyAlignment="1">
      <alignment horizontal="center"/>
    </xf>
    <xf numFmtId="0" fontId="113" fillId="0" borderId="41" xfId="137" applyFont="1" applyFill="1" applyBorder="1" applyAlignment="1">
      <alignment horizontal="center"/>
    </xf>
    <xf numFmtId="0" fontId="113" fillId="0" borderId="39" xfId="137" applyFont="1" applyFill="1" applyBorder="1" applyAlignment="1">
      <alignment horizontal="left"/>
    </xf>
    <xf numFmtId="0" fontId="113" fillId="0" borderId="40" xfId="137" applyFont="1" applyFill="1" applyBorder="1" applyAlignment="1">
      <alignment horizontal="left"/>
    </xf>
    <xf numFmtId="0" fontId="113" fillId="0" borderId="41" xfId="137" applyFont="1" applyFill="1" applyBorder="1" applyAlignment="1">
      <alignment horizontal="left"/>
    </xf>
    <xf numFmtId="43" fontId="113" fillId="0" borderId="40" xfId="82" applyFont="1" applyFill="1" applyBorder="1" applyAlignment="1">
      <alignment horizontal="center"/>
    </xf>
    <xf numFmtId="43" fontId="113" fillId="0" borderId="41" xfId="82" applyFont="1" applyFill="1" applyBorder="1" applyAlignment="1">
      <alignment horizontal="center"/>
    </xf>
    <xf numFmtId="0" fontId="108" fillId="0" borderId="70" xfId="137" applyFont="1" applyFill="1" applyBorder="1" applyAlignment="1">
      <alignment horizontal="center"/>
    </xf>
    <xf numFmtId="0" fontId="108" fillId="0" borderId="71" xfId="137" applyFont="1" applyFill="1" applyBorder="1" applyAlignment="1">
      <alignment horizontal="center"/>
    </xf>
    <xf numFmtId="0" fontId="108" fillId="0" borderId="112" xfId="137" applyFont="1" applyFill="1" applyBorder="1" applyAlignment="1">
      <alignment horizontal="center"/>
    </xf>
    <xf numFmtId="43" fontId="113" fillId="0" borderId="39" xfId="82" applyFont="1" applyFill="1" applyBorder="1" applyAlignment="1">
      <alignment horizontal="right"/>
    </xf>
    <xf numFmtId="43" fontId="113" fillId="0" borderId="40" xfId="82" applyFont="1" applyFill="1" applyBorder="1" applyAlignment="1">
      <alignment horizontal="right"/>
    </xf>
    <xf numFmtId="43" fontId="113" fillId="0" borderId="41" xfId="82" applyFont="1" applyFill="1" applyBorder="1" applyAlignment="1">
      <alignment horizontal="right"/>
    </xf>
    <xf numFmtId="0" fontId="111" fillId="0" borderId="110" xfId="0" applyFont="1" applyFill="1" applyBorder="1" applyAlignment="1">
      <alignment horizontal="center"/>
    </xf>
    <xf numFmtId="0" fontId="111" fillId="0" borderId="111" xfId="0" applyFont="1" applyFill="1" applyBorder="1" applyAlignment="1">
      <alignment horizontal="center"/>
    </xf>
    <xf numFmtId="0" fontId="111" fillId="0" borderId="209" xfId="0" applyFont="1" applyFill="1" applyBorder="1" applyAlignment="1">
      <alignment horizontal="center"/>
    </xf>
    <xf numFmtId="164" fontId="113" fillId="0" borderId="40" xfId="0" applyNumberFormat="1" applyFont="1" applyFill="1" applyBorder="1" applyAlignment="1">
      <alignment horizontal="right"/>
    </xf>
    <xf numFmtId="164" fontId="113" fillId="0" borderId="41" xfId="0" applyNumberFormat="1" applyFont="1" applyFill="1" applyBorder="1" applyAlignment="1">
      <alignment horizontal="right"/>
    </xf>
    <xf numFmtId="43" fontId="128" fillId="0" borderId="40" xfId="82" applyFont="1" applyFill="1" applyBorder="1" applyAlignment="1">
      <alignment horizontal="right"/>
    </xf>
    <xf numFmtId="43" fontId="128" fillId="0" borderId="41" xfId="82" applyFont="1" applyFill="1" applyBorder="1" applyAlignment="1">
      <alignment horizontal="right"/>
    </xf>
    <xf numFmtId="43" fontId="115" fillId="0" borderId="39" xfId="0" applyNumberFormat="1" applyFont="1" applyFill="1" applyBorder="1" applyAlignment="1">
      <alignment horizontal="center"/>
    </xf>
    <xf numFmtId="43" fontId="115" fillId="0" borderId="40" xfId="0" applyNumberFormat="1" applyFont="1" applyFill="1" applyBorder="1" applyAlignment="1">
      <alignment horizontal="center"/>
    </xf>
    <xf numFmtId="43" fontId="115" fillId="0" borderId="41" xfId="0" applyNumberFormat="1" applyFont="1" applyFill="1" applyBorder="1" applyAlignment="1">
      <alignment horizontal="center"/>
    </xf>
    <xf numFmtId="43" fontId="113" fillId="29" borderId="40" xfId="82" applyFont="1" applyFill="1" applyBorder="1" applyAlignment="1">
      <alignment horizontal="center"/>
    </xf>
    <xf numFmtId="43" fontId="113" fillId="29" borderId="41" xfId="82" applyFont="1" applyFill="1" applyBorder="1" applyAlignment="1">
      <alignment horizontal="center"/>
    </xf>
    <xf numFmtId="43" fontId="113" fillId="0" borderId="39" xfId="82" applyFont="1" applyFill="1" applyBorder="1" applyAlignment="1">
      <alignment horizontal="center"/>
    </xf>
    <xf numFmtId="0" fontId="115" fillId="0" borderId="40" xfId="0" applyFont="1" applyFill="1" applyBorder="1" applyAlignment="1">
      <alignment horizontal="center"/>
    </xf>
    <xf numFmtId="0" fontId="115" fillId="0" borderId="41" xfId="0" applyFont="1" applyFill="1" applyBorder="1" applyAlignment="1">
      <alignment horizontal="center"/>
    </xf>
    <xf numFmtId="0" fontId="111" fillId="0" borderId="39" xfId="0" applyFont="1" applyFill="1" applyBorder="1" applyAlignment="1">
      <alignment horizontal="center"/>
    </xf>
    <xf numFmtId="0" fontId="111" fillId="0" borderId="40" xfId="0" applyFont="1" applyFill="1" applyBorder="1" applyAlignment="1">
      <alignment horizontal="center"/>
    </xf>
    <xf numFmtId="0" fontId="111" fillId="0" borderId="41" xfId="0" applyFont="1" applyFill="1" applyBorder="1" applyAlignment="1">
      <alignment horizontal="center"/>
    </xf>
    <xf numFmtId="43" fontId="116" fillId="0" borderId="39" xfId="0" applyNumberFormat="1" applyFont="1" applyFill="1" applyBorder="1" applyAlignment="1">
      <alignment horizontal="center"/>
    </xf>
    <xf numFmtId="43" fontId="116" fillId="0" borderId="40" xfId="0" applyNumberFormat="1" applyFont="1" applyFill="1" applyBorder="1" applyAlignment="1">
      <alignment horizontal="center"/>
    </xf>
    <xf numFmtId="43" fontId="116" fillId="0" borderId="41" xfId="0" applyNumberFormat="1" applyFont="1" applyFill="1" applyBorder="1" applyAlignment="1">
      <alignment horizontal="center"/>
    </xf>
    <xf numFmtId="0" fontId="110" fillId="0" borderId="39" xfId="0" applyFont="1" applyFill="1" applyBorder="1" applyAlignment="1">
      <alignment horizontal="center"/>
    </xf>
    <xf numFmtId="0" fontId="110" fillId="0" borderId="40" xfId="0" applyFont="1" applyFill="1" applyBorder="1" applyAlignment="1">
      <alignment horizontal="center"/>
    </xf>
    <xf numFmtId="0" fontId="110" fillId="0" borderId="41" xfId="0" applyFont="1" applyFill="1" applyBorder="1" applyAlignment="1">
      <alignment horizontal="center"/>
    </xf>
    <xf numFmtId="43" fontId="115" fillId="0" borderId="80" xfId="0" applyNumberFormat="1" applyFont="1" applyFill="1" applyBorder="1" applyAlignment="1">
      <alignment horizontal="center"/>
    </xf>
    <xf numFmtId="43" fontId="115" fillId="0" borderId="81" xfId="0" applyNumberFormat="1" applyFont="1" applyFill="1" applyBorder="1" applyAlignment="1">
      <alignment horizontal="center"/>
    </xf>
    <xf numFmtId="43" fontId="115" fillId="0" borderId="83" xfId="0" applyNumberFormat="1" applyFont="1" applyFill="1" applyBorder="1" applyAlignment="1">
      <alignment horizontal="center"/>
    </xf>
    <xf numFmtId="43" fontId="113" fillId="0" borderId="39" xfId="0" applyNumberFormat="1" applyFont="1" applyFill="1" applyBorder="1" applyAlignment="1">
      <alignment horizontal="center"/>
    </xf>
    <xf numFmtId="43" fontId="113" fillId="0" borderId="40" xfId="0" applyNumberFormat="1" applyFont="1" applyFill="1" applyBorder="1" applyAlignment="1">
      <alignment horizontal="center"/>
    </xf>
    <xf numFmtId="43" fontId="113" fillId="0" borderId="41" xfId="0" applyNumberFormat="1" applyFont="1" applyFill="1" applyBorder="1" applyAlignment="1">
      <alignment horizontal="center"/>
    </xf>
    <xf numFmtId="0" fontId="116" fillId="0" borderId="40" xfId="0" applyFont="1" applyFill="1" applyBorder="1" applyAlignment="1">
      <alignment horizontal="center"/>
    </xf>
    <xf numFmtId="0" fontId="116" fillId="0" borderId="41" xfId="0" applyFont="1" applyFill="1" applyBorder="1" applyAlignment="1">
      <alignment horizontal="center"/>
    </xf>
    <xf numFmtId="43" fontId="113" fillId="29" borderId="39" xfId="0" applyNumberFormat="1" applyFont="1" applyFill="1" applyBorder="1" applyAlignment="1">
      <alignment horizontal="center"/>
    </xf>
    <xf numFmtId="43" fontId="113" fillId="29" borderId="40" xfId="0" applyNumberFormat="1" applyFont="1" applyFill="1" applyBorder="1" applyAlignment="1">
      <alignment horizontal="center"/>
    </xf>
    <xf numFmtId="43" fontId="113" fillId="29" borderId="41" xfId="0" applyNumberFormat="1" applyFont="1" applyFill="1" applyBorder="1" applyAlignment="1">
      <alignment horizontal="center"/>
    </xf>
    <xf numFmtId="4" fontId="113" fillId="0" borderId="39" xfId="0" applyNumberFormat="1" applyFont="1" applyFill="1" applyBorder="1" applyAlignment="1">
      <alignment horizontal="right"/>
    </xf>
    <xf numFmtId="4" fontId="113" fillId="0" borderId="40" xfId="0" applyNumberFormat="1" applyFont="1" applyFill="1" applyBorder="1" applyAlignment="1">
      <alignment horizontal="right"/>
    </xf>
    <xf numFmtId="4" fontId="113" fillId="0" borderId="41" xfId="0" applyNumberFormat="1" applyFont="1" applyFill="1" applyBorder="1" applyAlignment="1">
      <alignment horizontal="right"/>
    </xf>
    <xf numFmtId="0" fontId="108" fillId="0" borderId="39" xfId="137" applyFont="1" applyFill="1" applyBorder="1" applyAlignment="1">
      <alignment horizontal="center"/>
    </xf>
    <xf numFmtId="0" fontId="108" fillId="0" borderId="40" xfId="137" applyFont="1" applyFill="1" applyBorder="1" applyAlignment="1">
      <alignment horizontal="center"/>
    </xf>
    <xf numFmtId="0" fontId="108" fillId="0" borderId="41" xfId="137" applyFont="1" applyFill="1" applyBorder="1" applyAlignment="1">
      <alignment horizontal="center"/>
    </xf>
    <xf numFmtId="0" fontId="111" fillId="0" borderId="39" xfId="137" applyFont="1" applyFill="1" applyBorder="1" applyAlignment="1">
      <alignment horizontal="left"/>
    </xf>
    <xf numFmtId="0" fontId="111" fillId="0" borderId="40" xfId="137" applyFont="1" applyFill="1" applyBorder="1" applyAlignment="1">
      <alignment horizontal="left"/>
    </xf>
    <xf numFmtId="0" fontId="111" fillId="0" borderId="41" xfId="137" applyFont="1" applyFill="1" applyBorder="1" applyAlignment="1">
      <alignment horizontal="left"/>
    </xf>
    <xf numFmtId="0" fontId="111" fillId="0" borderId="39" xfId="137" applyFont="1" applyFill="1" applyBorder="1" applyAlignment="1">
      <alignment horizontal="center"/>
    </xf>
    <xf numFmtId="0" fontId="111" fillId="0" borderId="40" xfId="137" applyFont="1" applyFill="1" applyBorder="1" applyAlignment="1">
      <alignment horizontal="center"/>
    </xf>
    <xf numFmtId="0" fontId="111" fillId="0" borderId="41" xfId="137" applyFont="1" applyFill="1" applyBorder="1" applyAlignment="1">
      <alignment horizontal="center"/>
    </xf>
    <xf numFmtId="4" fontId="99" fillId="0" borderId="21" xfId="0" applyNumberFormat="1" applyFont="1" applyFill="1" applyBorder="1" applyAlignment="1">
      <alignment horizontal="center"/>
    </xf>
    <xf numFmtId="4" fontId="99" fillId="0" borderId="22" xfId="0" applyNumberFormat="1" applyFont="1" applyFill="1" applyBorder="1" applyAlignment="1">
      <alignment horizontal="center"/>
    </xf>
    <xf numFmtId="4" fontId="43" fillId="0" borderId="18" xfId="137" applyNumberFormat="1" applyFont="1" applyFill="1" applyBorder="1" applyAlignment="1">
      <alignment horizontal="left"/>
    </xf>
    <xf numFmtId="4" fontId="43" fillId="0" borderId="0" xfId="137" applyNumberFormat="1" applyFont="1" applyFill="1" applyBorder="1" applyAlignment="1">
      <alignment horizontal="left"/>
    </xf>
    <xf numFmtId="4" fontId="43" fillId="0" borderId="19" xfId="137" applyNumberFormat="1" applyFont="1" applyFill="1" applyBorder="1" applyAlignment="1">
      <alignment horizontal="left"/>
    </xf>
    <xf numFmtId="4" fontId="99" fillId="0" borderId="18" xfId="0" applyNumberFormat="1" applyFont="1" applyBorder="1" applyAlignment="1">
      <alignment horizontal="left"/>
    </xf>
    <xf numFmtId="4" fontId="99" fillId="0" borderId="0" xfId="0" applyNumberFormat="1" applyFont="1" applyBorder="1" applyAlignment="1">
      <alignment horizontal="left"/>
    </xf>
    <xf numFmtId="4" fontId="99" fillId="0" borderId="19" xfId="0" applyNumberFormat="1" applyFont="1" applyBorder="1" applyAlignment="1">
      <alignment horizontal="left"/>
    </xf>
    <xf numFmtId="4" fontId="101" fillId="0" borderId="22" xfId="0" applyNumberFormat="1" applyFont="1" applyFill="1" applyBorder="1" applyAlignment="1">
      <alignment horizontal="center"/>
    </xf>
    <xf numFmtId="4" fontId="101" fillId="0" borderId="23" xfId="0" applyNumberFormat="1" applyFont="1" applyFill="1" applyBorder="1" applyAlignment="1">
      <alignment horizontal="center"/>
    </xf>
    <xf numFmtId="4" fontId="100" fillId="26" borderId="12" xfId="0" applyNumberFormat="1" applyFont="1" applyFill="1" applyBorder="1" applyAlignment="1">
      <alignment horizontal="left" vertical="center"/>
    </xf>
    <xf numFmtId="4" fontId="100" fillId="26" borderId="14" xfId="0" applyNumberFormat="1" applyFont="1" applyFill="1" applyBorder="1" applyAlignment="1">
      <alignment horizontal="left" vertical="center"/>
    </xf>
    <xf numFmtId="4" fontId="129" fillId="0" borderId="12" xfId="0" applyNumberFormat="1" applyFont="1" applyFill="1" applyBorder="1" applyAlignment="1">
      <alignment horizontal="center" vertical="center"/>
    </xf>
    <xf numFmtId="4" fontId="129" fillId="0" borderId="13" xfId="0" applyNumberFormat="1" applyFont="1" applyFill="1" applyBorder="1" applyAlignment="1">
      <alignment horizontal="center" vertical="center"/>
    </xf>
    <xf numFmtId="4" fontId="129" fillId="0" borderId="14" xfId="0" applyNumberFormat="1" applyFont="1" applyFill="1" applyBorder="1" applyAlignment="1">
      <alignment horizontal="center" vertical="center"/>
    </xf>
    <xf numFmtId="4" fontId="129" fillId="0" borderId="15" xfId="0" applyNumberFormat="1" applyFont="1" applyFill="1" applyBorder="1" applyAlignment="1">
      <alignment horizontal="center" vertical="center"/>
    </xf>
    <xf numFmtId="4" fontId="129" fillId="0" borderId="17" xfId="0" applyNumberFormat="1" applyFont="1" applyFill="1" applyBorder="1" applyAlignment="1">
      <alignment horizontal="center" vertical="center"/>
    </xf>
    <xf numFmtId="4" fontId="129" fillId="0" borderId="16" xfId="0" applyNumberFormat="1" applyFont="1" applyFill="1" applyBorder="1" applyAlignment="1">
      <alignment horizontal="center" vertical="center"/>
    </xf>
    <xf numFmtId="4" fontId="102" fillId="0" borderId="15" xfId="0" applyNumberFormat="1" applyFont="1" applyFill="1" applyBorder="1" applyAlignment="1">
      <alignment horizontal="center"/>
    </xf>
    <xf numFmtId="4" fontId="102" fillId="0" borderId="16" xfId="0" applyNumberFormat="1" applyFont="1" applyFill="1" applyBorder="1" applyAlignment="1">
      <alignment horizontal="center"/>
    </xf>
    <xf numFmtId="4" fontId="99" fillId="0" borderId="13" xfId="0" applyNumberFormat="1" applyFont="1" applyFill="1" applyBorder="1" applyAlignment="1">
      <alignment horizontal="center"/>
    </xf>
    <xf numFmtId="4" fontId="99" fillId="0" borderId="14" xfId="0" applyNumberFormat="1" applyFont="1" applyFill="1" applyBorder="1" applyAlignment="1">
      <alignment horizontal="center"/>
    </xf>
    <xf numFmtId="4" fontId="131" fillId="0" borderId="168" xfId="137" applyNumberFormat="1" applyFont="1" applyFill="1" applyBorder="1" applyAlignment="1">
      <alignment horizontal="center" wrapText="1"/>
    </xf>
    <xf numFmtId="4" fontId="131" fillId="0" borderId="0" xfId="137" applyNumberFormat="1" applyFont="1" applyFill="1" applyBorder="1" applyAlignment="1">
      <alignment horizontal="center" wrapText="1"/>
    </xf>
    <xf numFmtId="4" fontId="99" fillId="0" borderId="168" xfId="0" applyNumberFormat="1" applyFont="1" applyFill="1" applyBorder="1" applyAlignment="1">
      <alignment horizontal="left" vertical="top" wrapText="1"/>
    </xf>
    <xf numFmtId="4" fontId="99" fillId="0" borderId="0" xfId="0" applyNumberFormat="1" applyFont="1" applyFill="1" applyBorder="1" applyAlignment="1">
      <alignment horizontal="left" vertical="top" wrapText="1"/>
    </xf>
    <xf numFmtId="4" fontId="99" fillId="0" borderId="19" xfId="0" applyNumberFormat="1" applyFont="1" applyFill="1" applyBorder="1" applyAlignment="1">
      <alignment horizontal="left" vertical="top" wrapText="1"/>
    </xf>
    <xf numFmtId="4" fontId="102" fillId="0" borderId="15" xfId="0" applyNumberFormat="1" applyFont="1" applyFill="1" applyBorder="1" applyAlignment="1">
      <alignment horizontal="center" vertical="center"/>
    </xf>
    <xf numFmtId="4" fontId="102" fillId="0" borderId="16" xfId="0" applyNumberFormat="1" applyFont="1" applyFill="1" applyBorder="1" applyAlignment="1">
      <alignment horizontal="center" vertical="center"/>
    </xf>
    <xf numFmtId="0" fontId="90" fillId="0" borderId="168" xfId="137" applyFont="1" applyFill="1" applyBorder="1" applyAlignment="1">
      <alignment horizontal="center" wrapText="1"/>
    </xf>
    <xf numFmtId="0" fontId="90" fillId="0" borderId="0" xfId="137" applyFont="1" applyFill="1" applyBorder="1" applyAlignment="1">
      <alignment horizontal="center" wrapText="1"/>
    </xf>
    <xf numFmtId="4" fontId="43" fillId="0" borderId="0" xfId="137" applyNumberFormat="1" applyFont="1" applyFill="1" applyBorder="1" applyAlignment="1">
      <alignment horizontal="center"/>
    </xf>
    <xf numFmtId="4" fontId="43" fillId="0" borderId="19" xfId="137" applyNumberFormat="1" applyFont="1" applyFill="1" applyBorder="1" applyAlignment="1">
      <alignment horizontal="center"/>
    </xf>
    <xf numFmtId="4" fontId="131" fillId="0" borderId="168" xfId="137" applyNumberFormat="1" applyFont="1" applyFill="1" applyBorder="1" applyAlignment="1">
      <alignment vertical="top" wrapText="1"/>
    </xf>
    <xf numFmtId="4" fontId="131" fillId="0" borderId="0" xfId="137" applyNumberFormat="1" applyFont="1" applyFill="1" applyBorder="1" applyAlignment="1">
      <alignment vertical="top" wrapText="1"/>
    </xf>
    <xf numFmtId="4" fontId="131" fillId="0" borderId="19" xfId="137" applyNumberFormat="1" applyFont="1" applyFill="1" applyBorder="1" applyAlignment="1">
      <alignment vertical="top" wrapText="1"/>
    </xf>
    <xf numFmtId="4" fontId="43" fillId="0" borderId="168" xfId="137" applyNumberFormat="1" applyFont="1" applyFill="1" applyBorder="1" applyAlignment="1">
      <alignment horizontal="center"/>
    </xf>
    <xf numFmtId="4" fontId="100" fillId="26" borderId="160" xfId="0" applyNumberFormat="1" applyFont="1" applyFill="1" applyBorder="1" applyAlignment="1">
      <alignment horizontal="left" vertical="center"/>
    </xf>
    <xf numFmtId="4" fontId="100" fillId="26" borderId="161" xfId="0" applyNumberFormat="1" applyFont="1" applyFill="1" applyBorder="1" applyAlignment="1">
      <alignment horizontal="left" vertical="center"/>
    </xf>
    <xf numFmtId="4" fontId="129" fillId="0" borderId="162" xfId="0" applyNumberFormat="1" applyFont="1" applyFill="1" applyBorder="1" applyAlignment="1">
      <alignment horizontal="center" vertical="center"/>
    </xf>
    <xf numFmtId="4" fontId="129" fillId="0" borderId="132" xfId="0" applyNumberFormat="1" applyFont="1" applyFill="1" applyBorder="1" applyAlignment="1">
      <alignment horizontal="center" vertical="center"/>
    </xf>
    <xf numFmtId="4" fontId="129" fillId="0" borderId="161" xfId="0" applyNumberFormat="1" applyFont="1" applyFill="1" applyBorder="1" applyAlignment="1">
      <alignment horizontal="center" vertical="center"/>
    </xf>
    <xf numFmtId="4" fontId="62" fillId="0" borderId="168" xfId="137" applyNumberFormat="1" applyFont="1" applyFill="1" applyBorder="1" applyAlignment="1">
      <alignment horizontal="left" vertical="top" wrapText="1"/>
    </xf>
    <xf numFmtId="4" fontId="62" fillId="0" borderId="0" xfId="137" applyNumberFormat="1" applyFont="1" applyFill="1" applyBorder="1" applyAlignment="1">
      <alignment horizontal="left" vertical="top" wrapText="1"/>
    </xf>
    <xf numFmtId="4" fontId="62" fillId="0" borderId="19" xfId="137" applyNumberFormat="1" applyFont="1" applyFill="1" applyBorder="1" applyAlignment="1">
      <alignment horizontal="left" vertical="top" wrapText="1"/>
    </xf>
    <xf numFmtId="0" fontId="107" fillId="0" borderId="168" xfId="137" applyFont="1" applyFill="1" applyBorder="1" applyAlignment="1">
      <alignment horizontal="left" vertical="top" wrapText="1"/>
    </xf>
    <xf numFmtId="0" fontId="107" fillId="0" borderId="0" xfId="137" applyFont="1" applyFill="1" applyBorder="1" applyAlignment="1">
      <alignment horizontal="left" vertical="top" wrapText="1"/>
    </xf>
    <xf numFmtId="0" fontId="107" fillId="0" borderId="19" xfId="137" applyFont="1" applyFill="1" applyBorder="1" applyAlignment="1">
      <alignment horizontal="left" vertical="top" wrapText="1"/>
    </xf>
    <xf numFmtId="4" fontId="61" fillId="0" borderId="0" xfId="137" applyNumberFormat="1" applyFont="1" applyFill="1" applyBorder="1" applyAlignment="1">
      <alignment horizontal="left"/>
    </xf>
    <xf numFmtId="4" fontId="61" fillId="0" borderId="19" xfId="137" applyNumberFormat="1" applyFont="1" applyFill="1" applyBorder="1" applyAlignment="1">
      <alignment horizontal="left"/>
    </xf>
    <xf numFmtId="0" fontId="90" fillId="0" borderId="168" xfId="137" applyFont="1" applyFill="1" applyBorder="1" applyAlignment="1">
      <alignment horizontal="left" wrapText="1"/>
    </xf>
    <xf numFmtId="0" fontId="90" fillId="0" borderId="0" xfId="137" applyFont="1" applyFill="1" applyBorder="1" applyAlignment="1">
      <alignment horizontal="left" wrapText="1"/>
    </xf>
    <xf numFmtId="0" fontId="90" fillId="0" borderId="19" xfId="137" applyFont="1" applyFill="1" applyBorder="1" applyAlignment="1">
      <alignment horizontal="left" wrapText="1"/>
    </xf>
    <xf numFmtId="0" fontId="90" fillId="0" borderId="168" xfId="137" applyFont="1" applyFill="1" applyBorder="1" applyAlignment="1">
      <alignment horizontal="left" vertical="top" wrapText="1"/>
    </xf>
    <xf numFmtId="4" fontId="99" fillId="0" borderId="168" xfId="0" applyNumberFormat="1" applyFont="1" applyFill="1" applyBorder="1" applyAlignment="1">
      <alignment horizontal="center" wrapText="1"/>
    </xf>
    <xf numFmtId="4" fontId="99" fillId="0" borderId="0" xfId="0" applyNumberFormat="1" applyFont="1" applyFill="1" applyBorder="1" applyAlignment="1">
      <alignment horizontal="center" wrapText="1"/>
    </xf>
    <xf numFmtId="4" fontId="61" fillId="0" borderId="0" xfId="137" applyNumberFormat="1" applyFont="1" applyFill="1" applyBorder="1" applyAlignment="1">
      <alignment horizontal="center"/>
    </xf>
    <xf numFmtId="4" fontId="61" fillId="0" borderId="19" xfId="137" applyNumberFormat="1" applyFont="1" applyFill="1" applyBorder="1" applyAlignment="1">
      <alignment horizontal="center"/>
    </xf>
    <xf numFmtId="0" fontId="90" fillId="0" borderId="168" xfId="137" applyFont="1" applyFill="1" applyBorder="1" applyAlignment="1">
      <alignment horizontal="left"/>
    </xf>
    <xf numFmtId="0" fontId="90" fillId="0" borderId="0" xfId="137" applyFont="1" applyFill="1" applyBorder="1" applyAlignment="1">
      <alignment horizontal="left"/>
    </xf>
    <xf numFmtId="0" fontId="90" fillId="0" borderId="19" xfId="137" applyFont="1" applyFill="1" applyBorder="1" applyAlignment="1">
      <alignment horizontal="left"/>
    </xf>
    <xf numFmtId="0" fontId="90" fillId="0" borderId="168" xfId="137" applyFont="1" applyFill="1" applyBorder="1" applyAlignment="1">
      <alignment horizontal="center"/>
    </xf>
    <xf numFmtId="4" fontId="99" fillId="0" borderId="19" xfId="0" applyNumberFormat="1" applyFont="1" applyFill="1" applyBorder="1" applyAlignment="1">
      <alignment horizontal="center" wrapText="1"/>
    </xf>
    <xf numFmtId="4" fontId="155" fillId="0" borderId="0" xfId="0" applyNumberFormat="1" applyFont="1" applyBorder="1" applyAlignment="1">
      <alignment horizontal="center"/>
    </xf>
    <xf numFmtId="4" fontId="155" fillId="0" borderId="19" xfId="0" applyNumberFormat="1" applyFont="1" applyBorder="1" applyAlignment="1">
      <alignment horizontal="center"/>
    </xf>
    <xf numFmtId="0" fontId="93" fillId="0" borderId="0" xfId="137" applyFont="1" applyFill="1" applyBorder="1" applyAlignment="1">
      <alignment horizontal="center"/>
    </xf>
    <xf numFmtId="166" fontId="67" fillId="24" borderId="168" xfId="0" applyNumberFormat="1" applyFont="1" applyFill="1" applyBorder="1" applyAlignment="1" applyProtection="1">
      <alignment horizontal="center" vertical="top"/>
    </xf>
    <xf numFmtId="166" fontId="67" fillId="24" borderId="0" xfId="0" applyNumberFormat="1" applyFont="1" applyFill="1" applyBorder="1" applyAlignment="1" applyProtection="1">
      <alignment horizontal="center" vertical="top"/>
    </xf>
    <xf numFmtId="166" fontId="67" fillId="24" borderId="19" xfId="0" applyNumberFormat="1" applyFont="1" applyFill="1" applyBorder="1" applyAlignment="1" applyProtection="1">
      <alignment horizontal="center" vertical="top"/>
    </xf>
    <xf numFmtId="0" fontId="90" fillId="0" borderId="168" xfId="137" applyFont="1" applyFill="1" applyBorder="1" applyAlignment="1">
      <alignment horizontal="right"/>
    </xf>
    <xf numFmtId="0" fontId="90" fillId="0" borderId="0" xfId="137" applyFont="1" applyFill="1" applyBorder="1" applyAlignment="1">
      <alignment horizontal="right"/>
    </xf>
    <xf numFmtId="0" fontId="90" fillId="0" borderId="19" xfId="137" applyFont="1" applyFill="1" applyBorder="1" applyAlignment="1">
      <alignment horizontal="right"/>
    </xf>
    <xf numFmtId="4" fontId="99" fillId="0" borderId="168" xfId="0" applyNumberFormat="1" applyFont="1" applyFill="1" applyBorder="1" applyAlignment="1">
      <alignment horizontal="left" wrapText="1"/>
    </xf>
    <xf numFmtId="4" fontId="99" fillId="0" borderId="0" xfId="0" applyNumberFormat="1" applyFont="1" applyFill="1" applyBorder="1" applyAlignment="1">
      <alignment horizontal="left" wrapText="1"/>
    </xf>
    <xf numFmtId="0" fontId="153" fillId="24" borderId="167" xfId="0" applyFont="1" applyFill="1" applyBorder="1" applyAlignment="1">
      <alignment horizontal="left" vertical="top" wrapText="1"/>
    </xf>
    <xf numFmtId="0" fontId="153" fillId="24" borderId="17" xfId="0" applyFont="1" applyFill="1" applyBorder="1" applyAlignment="1">
      <alignment horizontal="left" vertical="top" wrapText="1"/>
    </xf>
    <xf numFmtId="0" fontId="153" fillId="24" borderId="16" xfId="0" applyFont="1" applyFill="1" applyBorder="1" applyAlignment="1">
      <alignment horizontal="left" vertical="top" wrapText="1"/>
    </xf>
    <xf numFmtId="0" fontId="90" fillId="0" borderId="165" xfId="137" applyFont="1" applyFill="1" applyBorder="1" applyAlignment="1">
      <alignment horizontal="right"/>
    </xf>
    <xf numFmtId="0" fontId="90" fillId="0" borderId="13" xfId="137" applyFont="1" applyFill="1" applyBorder="1" applyAlignment="1">
      <alignment horizontal="right"/>
    </xf>
    <xf numFmtId="0" fontId="90" fillId="0" borderId="14" xfId="137" applyFont="1" applyFill="1" applyBorder="1" applyAlignment="1">
      <alignment horizontal="right"/>
    </xf>
    <xf numFmtId="2" fontId="150" fillId="0" borderId="138" xfId="118" applyNumberFormat="1" applyFont="1" applyFill="1" applyBorder="1" applyAlignment="1">
      <alignment horizontal="center"/>
    </xf>
    <xf numFmtId="2" fontId="150" fillId="0" borderId="137" xfId="118" applyNumberFormat="1" applyFont="1" applyFill="1" applyBorder="1" applyAlignment="1">
      <alignment horizontal="center"/>
    </xf>
    <xf numFmtId="2" fontId="150" fillId="0" borderId="136" xfId="118" applyNumberFormat="1" applyFont="1" applyFill="1" applyBorder="1" applyAlignment="1">
      <alignment horizontal="center"/>
    </xf>
    <xf numFmtId="2" fontId="141" fillId="0" borderId="130" xfId="118" applyNumberFormat="1" applyFont="1" applyFill="1" applyBorder="1" applyAlignment="1">
      <alignment horizontal="center"/>
    </xf>
    <xf numFmtId="2" fontId="141" fillId="0" borderId="129" xfId="118" applyNumberFormat="1" applyFont="1" applyFill="1" applyBorder="1" applyAlignment="1">
      <alignment horizontal="center"/>
    </xf>
    <xf numFmtId="2" fontId="141" fillId="0" borderId="128" xfId="118" applyNumberFormat="1" applyFont="1" applyFill="1" applyBorder="1" applyAlignment="1">
      <alignment horizontal="center"/>
    </xf>
    <xf numFmtId="2" fontId="141" fillId="0" borderId="126" xfId="118" applyNumberFormat="1" applyFont="1" applyFill="1" applyBorder="1" applyAlignment="1">
      <alignment horizontal="center"/>
    </xf>
    <xf numFmtId="2" fontId="142" fillId="0" borderId="126" xfId="118" applyNumberFormat="1" applyFont="1" applyFill="1" applyBorder="1" applyAlignment="1">
      <alignment horizontal="center"/>
    </xf>
    <xf numFmtId="2" fontId="65" fillId="0" borderId="150" xfId="118" applyNumberFormat="1" applyFont="1" applyFill="1" applyBorder="1" applyAlignment="1">
      <alignment horizontal="center" vertical="center" wrapText="1" shrinkToFit="1"/>
    </xf>
    <xf numFmtId="2" fontId="65" fillId="0" borderId="142" xfId="118" applyNumberFormat="1" applyFont="1" applyFill="1" applyBorder="1" applyAlignment="1">
      <alignment horizontal="center" vertical="center" wrapText="1" shrinkToFit="1"/>
    </xf>
    <xf numFmtId="2" fontId="142" fillId="0" borderId="149" xfId="118" applyNumberFormat="1" applyFont="1" applyFill="1" applyBorder="1" applyAlignment="1">
      <alignment horizontal="center" vertical="center" shrinkToFit="1"/>
    </xf>
    <xf numFmtId="2" fontId="142" fillId="0" borderId="141" xfId="118" applyNumberFormat="1" applyFont="1" applyFill="1" applyBorder="1" applyAlignment="1">
      <alignment horizontal="center" vertical="center" shrinkToFit="1"/>
    </xf>
    <xf numFmtId="2" fontId="142" fillId="0" borderId="152" xfId="118" applyNumberFormat="1" applyFont="1" applyFill="1" applyBorder="1" applyAlignment="1">
      <alignment horizontal="center" vertical="center" shrinkToFit="1"/>
    </xf>
    <xf numFmtId="2" fontId="142" fillId="0" borderId="144" xfId="118" applyNumberFormat="1" applyFont="1" applyFill="1" applyBorder="1" applyAlignment="1">
      <alignment horizontal="center" vertical="center" shrinkToFit="1"/>
    </xf>
    <xf numFmtId="2" fontId="142" fillId="0" borderId="151" xfId="118" applyNumberFormat="1" applyFont="1" applyFill="1" applyBorder="1" applyAlignment="1">
      <alignment horizontal="center" vertical="center" shrinkToFit="1"/>
    </xf>
    <xf numFmtId="2" fontId="142" fillId="0" borderId="143" xfId="118" applyNumberFormat="1" applyFont="1" applyFill="1" applyBorder="1" applyAlignment="1">
      <alignment horizontal="center" vertical="center" shrinkToFit="1"/>
    </xf>
    <xf numFmtId="2" fontId="142" fillId="0" borderId="150" xfId="118" applyNumberFormat="1" applyFont="1" applyFill="1" applyBorder="1" applyAlignment="1">
      <alignment horizontal="center" vertical="center" shrinkToFit="1"/>
    </xf>
    <xf numFmtId="2" fontId="142" fillId="0" borderId="142" xfId="118" applyNumberFormat="1" applyFont="1" applyFill="1" applyBorder="1" applyAlignment="1">
      <alignment horizontal="center" vertical="center" shrinkToFit="1"/>
    </xf>
    <xf numFmtId="2" fontId="142" fillId="0" borderId="148" xfId="118" applyNumberFormat="1" applyFont="1" applyFill="1" applyBorder="1" applyAlignment="1">
      <alignment horizontal="center" shrinkToFit="1"/>
    </xf>
    <xf numFmtId="2" fontId="142" fillId="0" borderId="147" xfId="118" applyNumberFormat="1" applyFont="1" applyFill="1" applyBorder="1" applyAlignment="1">
      <alignment horizontal="center" shrinkToFit="1"/>
    </xf>
    <xf numFmtId="2" fontId="142" fillId="0" borderId="146" xfId="118" applyNumberFormat="1" applyFont="1" applyFill="1" applyBorder="1" applyAlignment="1">
      <alignment horizontal="center" shrinkToFit="1"/>
    </xf>
    <xf numFmtId="2" fontId="140" fillId="0" borderId="0" xfId="0" applyNumberFormat="1" applyFont="1" applyFill="1" applyBorder="1" applyAlignment="1">
      <alignment horizontal="left" vertical="center"/>
    </xf>
    <xf numFmtId="2" fontId="151" fillId="0" borderId="0" xfId="0" applyNumberFormat="1" applyFont="1" applyFill="1" applyBorder="1" applyAlignment="1">
      <alignment horizontal="left" vertical="center"/>
    </xf>
    <xf numFmtId="4" fontId="102" fillId="0" borderId="15" xfId="0" applyNumberFormat="1" applyFont="1" applyFill="1" applyBorder="1" applyAlignment="1">
      <alignment horizontal="left" vertical="center"/>
    </xf>
    <xf numFmtId="4" fontId="102" fillId="0" borderId="17" xfId="0" applyNumberFormat="1" applyFont="1" applyFill="1" applyBorder="1" applyAlignment="1">
      <alignment horizontal="left" vertical="center"/>
    </xf>
    <xf numFmtId="0" fontId="90" fillId="29" borderId="18" xfId="137" applyFont="1" applyFill="1" applyBorder="1" applyAlignment="1">
      <alignment horizontal="center" wrapText="1"/>
    </xf>
    <xf numFmtId="0" fontId="90" fillId="29" borderId="0" xfId="137" applyFont="1" applyFill="1" applyBorder="1" applyAlignment="1">
      <alignment horizontal="center" wrapText="1"/>
    </xf>
    <xf numFmtId="0" fontId="90" fillId="29" borderId="19" xfId="137" applyFont="1" applyFill="1" applyBorder="1" applyAlignment="1">
      <alignment horizontal="center" wrapText="1"/>
    </xf>
    <xf numFmtId="4" fontId="43" fillId="0" borderId="18" xfId="137" applyNumberFormat="1" applyFont="1" applyFill="1" applyBorder="1" applyAlignment="1">
      <alignment horizontal="center"/>
    </xf>
    <xf numFmtId="0" fontId="90" fillId="29" borderId="18" xfId="137" applyFont="1" applyFill="1" applyBorder="1" applyAlignment="1">
      <alignment horizontal="center"/>
    </xf>
    <xf numFmtId="0" fontId="90" fillId="29" borderId="0" xfId="137" applyFont="1" applyFill="1" applyBorder="1" applyAlignment="1">
      <alignment horizontal="center"/>
    </xf>
    <xf numFmtId="0" fontId="90" fillId="29" borderId="18" xfId="137" applyFont="1" applyFill="1" applyBorder="1" applyAlignment="1">
      <alignment horizontal="left"/>
    </xf>
    <xf numFmtId="0" fontId="90" fillId="29" borderId="0" xfId="137" applyFont="1" applyFill="1" applyBorder="1" applyAlignment="1">
      <alignment horizontal="left"/>
    </xf>
    <xf numFmtId="0" fontId="93" fillId="0" borderId="18" xfId="137" applyFont="1" applyFill="1" applyBorder="1" applyAlignment="1">
      <alignment horizontal="left"/>
    </xf>
    <xf numFmtId="0" fontId="93" fillId="0" borderId="0" xfId="137" applyFont="1" applyFill="1" applyBorder="1" applyAlignment="1">
      <alignment horizontal="left"/>
    </xf>
    <xf numFmtId="0" fontId="93" fillId="0" borderId="19" xfId="137" applyFont="1" applyFill="1" applyBorder="1" applyAlignment="1">
      <alignment horizontal="left"/>
    </xf>
    <xf numFmtId="4" fontId="85" fillId="0" borderId="0" xfId="0" applyNumberFormat="1" applyFont="1" applyFill="1" applyBorder="1" applyAlignment="1">
      <alignment horizontal="left"/>
    </xf>
    <xf numFmtId="4" fontId="85" fillId="0" borderId="19" xfId="0" applyNumberFormat="1" applyFont="1" applyFill="1" applyBorder="1" applyAlignment="1">
      <alignment horizontal="left"/>
    </xf>
    <xf numFmtId="4" fontId="102" fillId="0" borderId="18" xfId="0" applyNumberFormat="1" applyFont="1" applyBorder="1" applyAlignment="1">
      <alignment horizontal="center"/>
    </xf>
    <xf numFmtId="4" fontId="102" fillId="0" borderId="0" xfId="0" applyNumberFormat="1" applyFont="1" applyBorder="1" applyAlignment="1">
      <alignment horizontal="center"/>
    </xf>
    <xf numFmtId="4" fontId="114" fillId="0" borderId="0" xfId="0" applyNumberFormat="1" applyFont="1" applyFill="1" applyBorder="1" applyAlignment="1">
      <alignment horizontal="center" vertical="center"/>
    </xf>
    <xf numFmtId="4" fontId="114" fillId="0" borderId="19" xfId="0" applyNumberFormat="1" applyFont="1" applyFill="1" applyBorder="1" applyAlignment="1">
      <alignment horizontal="center" vertical="center"/>
    </xf>
    <xf numFmtId="4" fontId="102" fillId="0" borderId="0" xfId="0" applyNumberFormat="1" applyFont="1" applyFill="1" applyBorder="1" applyAlignment="1">
      <alignment horizontal="left"/>
    </xf>
    <xf numFmtId="4" fontId="102" fillId="0" borderId="19" xfId="0" applyNumberFormat="1" applyFont="1" applyFill="1" applyBorder="1" applyAlignment="1">
      <alignment horizontal="left"/>
    </xf>
    <xf numFmtId="4" fontId="102" fillId="0" borderId="0" xfId="0" applyNumberFormat="1" applyFont="1" applyFill="1" applyBorder="1" applyAlignment="1">
      <alignment horizontal="center"/>
    </xf>
    <xf numFmtId="4" fontId="102" fillId="0" borderId="19" xfId="0" applyNumberFormat="1" applyFont="1" applyFill="1" applyBorder="1" applyAlignment="1">
      <alignment horizontal="center"/>
    </xf>
    <xf numFmtId="168" fontId="163" fillId="0" borderId="219" xfId="160" applyNumberFormat="1" applyFont="1" applyBorder="1" applyAlignment="1">
      <alignment horizontal="center" vertical="center"/>
    </xf>
    <xf numFmtId="168" fontId="163" fillId="0" borderId="129" xfId="160" applyNumberFormat="1" applyFont="1" applyBorder="1" applyAlignment="1">
      <alignment horizontal="center" vertical="center"/>
    </xf>
    <xf numFmtId="168" fontId="163" fillId="0" borderId="220" xfId="160" applyNumberFormat="1" applyFont="1" applyBorder="1" applyAlignment="1">
      <alignment horizontal="center" vertical="center"/>
    </xf>
    <xf numFmtId="0" fontId="90" fillId="0" borderId="100" xfId="137" applyFont="1" applyFill="1" applyBorder="1" applyAlignment="1">
      <alignment horizontal="center"/>
    </xf>
    <xf numFmtId="0" fontId="90" fillId="0" borderId="100" xfId="137" applyFont="1" applyFill="1" applyBorder="1" applyAlignment="1">
      <alignment horizontal="left"/>
    </xf>
    <xf numFmtId="4" fontId="100" fillId="26" borderId="92" xfId="0" applyNumberFormat="1" applyFont="1" applyFill="1" applyBorder="1" applyAlignment="1">
      <alignment horizontal="left" vertical="center"/>
    </xf>
    <xf numFmtId="4" fontId="100" fillId="26" borderId="56" xfId="0" applyNumberFormat="1" applyFont="1" applyFill="1" applyBorder="1" applyAlignment="1">
      <alignment horizontal="left" vertical="center"/>
    </xf>
    <xf numFmtId="4" fontId="129" fillId="0" borderId="54" xfId="0" applyNumberFormat="1" applyFont="1" applyFill="1" applyBorder="1" applyAlignment="1">
      <alignment horizontal="center" vertical="center"/>
    </xf>
    <xf numFmtId="4" fontId="129" fillId="0" borderId="55" xfId="0" applyNumberFormat="1" applyFont="1" applyFill="1" applyBorder="1" applyAlignment="1">
      <alignment horizontal="center" vertical="center"/>
    </xf>
    <xf numFmtId="4" fontId="129" fillId="0" borderId="56" xfId="0" applyNumberFormat="1" applyFont="1" applyFill="1" applyBorder="1" applyAlignment="1">
      <alignment horizontal="center" vertical="center"/>
    </xf>
    <xf numFmtId="4" fontId="129" fillId="0" borderId="18" xfId="0" applyNumberFormat="1" applyFont="1" applyFill="1" applyBorder="1" applyAlignment="1">
      <alignment horizontal="center" vertical="center"/>
    </xf>
    <xf numFmtId="4" fontId="129" fillId="0" borderId="0" xfId="0" applyNumberFormat="1" applyFont="1" applyFill="1" applyBorder="1" applyAlignment="1">
      <alignment horizontal="center" vertical="center"/>
    </xf>
    <xf numFmtId="4" fontId="129" fillId="0" borderId="19" xfId="0" applyNumberFormat="1" applyFont="1" applyFill="1" applyBorder="1" applyAlignment="1">
      <alignment horizontal="center" vertical="center"/>
    </xf>
    <xf numFmtId="4" fontId="102" fillId="0" borderId="18" xfId="0" applyNumberFormat="1" applyFont="1" applyFill="1" applyBorder="1" applyAlignment="1">
      <alignment horizontal="center" vertical="center"/>
    </xf>
    <xf numFmtId="4" fontId="102" fillId="0" borderId="19" xfId="0" applyNumberFormat="1" applyFont="1" applyFill="1" applyBorder="1" applyAlignment="1">
      <alignment horizontal="center" vertical="center"/>
    </xf>
    <xf numFmtId="0" fontId="162" fillId="0" borderId="92" xfId="160" applyFont="1" applyFill="1" applyBorder="1" applyAlignment="1">
      <alignment horizontal="center" vertical="center"/>
    </xf>
    <xf numFmtId="0" fontId="162" fillId="0" borderId="55" xfId="160" applyFont="1" applyFill="1" applyBorder="1" applyAlignment="1">
      <alignment horizontal="center" vertical="center"/>
    </xf>
    <xf numFmtId="0" fontId="162" fillId="0" borderId="93" xfId="160" applyFont="1" applyFill="1" applyBorder="1" applyAlignment="1">
      <alignment horizontal="center" vertical="center"/>
    </xf>
    <xf numFmtId="4" fontId="102" fillId="0" borderId="17" xfId="0" applyNumberFormat="1" applyFont="1" applyFill="1" applyBorder="1" applyAlignment="1">
      <alignment horizontal="center"/>
    </xf>
    <xf numFmtId="4" fontId="99" fillId="0" borderId="18" xfId="0" applyNumberFormat="1" applyFont="1" applyBorder="1" applyAlignment="1">
      <alignment horizontal="center"/>
    </xf>
    <xf numFmtId="4" fontId="99" fillId="0" borderId="0" xfId="0" applyNumberFormat="1" applyFont="1" applyBorder="1" applyAlignment="1">
      <alignment horizontal="center"/>
    </xf>
    <xf numFmtId="4" fontId="99" fillId="0" borderId="19" xfId="0" applyNumberFormat="1" applyFont="1" applyBorder="1" applyAlignment="1">
      <alignment horizontal="center"/>
    </xf>
    <xf numFmtId="0" fontId="107" fillId="0" borderId="0" xfId="137" applyFont="1" applyFill="1" applyBorder="1" applyAlignment="1">
      <alignment horizontal="center"/>
    </xf>
    <xf numFmtId="0" fontId="107" fillId="0" borderId="19" xfId="137" applyFont="1" applyFill="1" applyBorder="1" applyAlignment="1">
      <alignment horizontal="center"/>
    </xf>
    <xf numFmtId="4" fontId="99" fillId="0" borderId="168" xfId="0" applyNumberFormat="1" applyFont="1" applyFill="1" applyBorder="1" applyAlignment="1">
      <alignment horizontal="center" vertical="top" wrapText="1"/>
    </xf>
    <xf numFmtId="4" fontId="99" fillId="0" borderId="0" xfId="0" applyNumberFormat="1" applyFont="1" applyFill="1" applyBorder="1" applyAlignment="1">
      <alignment horizontal="center" vertical="top" wrapText="1"/>
    </xf>
    <xf numFmtId="4" fontId="99" fillId="0" borderId="19" xfId="0" applyNumberFormat="1" applyFont="1" applyFill="1" applyBorder="1" applyAlignment="1">
      <alignment horizontal="center" vertical="top" wrapText="1"/>
    </xf>
    <xf numFmtId="4" fontId="99" fillId="0" borderId="168" xfId="0" applyNumberFormat="1" applyFont="1" applyFill="1" applyBorder="1" applyAlignment="1">
      <alignment horizontal="center" vertical="top"/>
    </xf>
    <xf numFmtId="4" fontId="99" fillId="0" borderId="0" xfId="0" applyNumberFormat="1" applyFont="1" applyFill="1" applyBorder="1" applyAlignment="1">
      <alignment horizontal="center" vertical="top"/>
    </xf>
    <xf numFmtId="4" fontId="99" fillId="0" borderId="19" xfId="0" applyNumberFormat="1" applyFont="1" applyFill="1" applyBorder="1" applyAlignment="1">
      <alignment horizontal="center" vertical="top"/>
    </xf>
    <xf numFmtId="4" fontId="102" fillId="0" borderId="168" xfId="0" applyNumberFormat="1" applyFont="1" applyFill="1" applyBorder="1" applyAlignment="1">
      <alignment horizontal="center" vertical="top" wrapText="1"/>
    </xf>
    <xf numFmtId="4" fontId="102" fillId="0" borderId="0" xfId="0" applyNumberFormat="1" applyFont="1" applyFill="1" applyBorder="1" applyAlignment="1">
      <alignment horizontal="center" vertical="top" wrapText="1"/>
    </xf>
    <xf numFmtId="4" fontId="102" fillId="0" borderId="19" xfId="0" applyNumberFormat="1" applyFont="1" applyFill="1" applyBorder="1" applyAlignment="1">
      <alignment horizontal="center" vertical="top" wrapText="1"/>
    </xf>
    <xf numFmtId="4" fontId="102" fillId="0" borderId="17" xfId="0" applyNumberFormat="1" applyFont="1" applyFill="1" applyBorder="1" applyAlignment="1">
      <alignment horizontal="center" vertical="center"/>
    </xf>
    <xf numFmtId="4" fontId="66" fillId="24" borderId="168" xfId="139" applyNumberFormat="1" applyFont="1" applyFill="1" applyBorder="1" applyAlignment="1">
      <alignment horizontal="center" vertical="top"/>
    </xf>
    <xf numFmtId="4" fontId="66" fillId="24" borderId="0" xfId="139" applyNumberFormat="1" applyFont="1" applyFill="1" applyBorder="1" applyAlignment="1">
      <alignment horizontal="center" vertical="top"/>
    </xf>
    <xf numFmtId="0" fontId="132" fillId="0" borderId="0" xfId="0" applyFont="1" applyAlignment="1">
      <alignment horizontal="center"/>
    </xf>
    <xf numFmtId="0" fontId="25" fillId="0" borderId="87" xfId="0" applyFont="1" applyBorder="1" applyAlignment="1">
      <alignment horizontal="center"/>
    </xf>
    <xf numFmtId="0" fontId="25" fillId="0" borderId="86" xfId="0" applyFont="1" applyBorder="1" applyAlignment="1">
      <alignment horizontal="center"/>
    </xf>
    <xf numFmtId="0" fontId="137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68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4" fontId="99" fillId="0" borderId="100" xfId="0" applyNumberFormat="1" applyFont="1" applyFill="1" applyBorder="1" applyAlignment="1">
      <alignment horizontal="left" wrapText="1"/>
    </xf>
    <xf numFmtId="4" fontId="99" fillId="0" borderId="19" xfId="0" applyNumberFormat="1" applyFont="1" applyFill="1" applyBorder="1" applyAlignment="1">
      <alignment horizontal="left" wrapText="1"/>
    </xf>
    <xf numFmtId="4" fontId="99" fillId="0" borderId="100" xfId="0" applyNumberFormat="1" applyFont="1" applyFill="1" applyBorder="1" applyAlignment="1">
      <alignment horizontal="center" wrapText="1"/>
    </xf>
    <xf numFmtId="0" fontId="93" fillId="0" borderId="100" xfId="137" applyFont="1" applyFill="1" applyBorder="1" applyAlignment="1">
      <alignment horizontal="left"/>
    </xf>
    <xf numFmtId="4" fontId="99" fillId="0" borderId="132" xfId="0" applyNumberFormat="1" applyFont="1" applyFill="1" applyBorder="1"/>
    <xf numFmtId="4" fontId="99" fillId="0" borderId="188" xfId="0" applyNumberFormat="1" applyFont="1" applyFill="1" applyBorder="1" applyAlignment="1">
      <alignment horizontal="left" vertical="top" wrapText="1"/>
    </xf>
    <xf numFmtId="4" fontId="102" fillId="0" borderId="161" xfId="0" applyNumberFormat="1" applyFont="1" applyBorder="1"/>
    <xf numFmtId="4" fontId="99" fillId="0" borderId="188" xfId="0" applyNumberFormat="1" applyFont="1" applyFill="1" applyBorder="1"/>
    <xf numFmtId="4" fontId="99" fillId="0" borderId="204" xfId="0" applyNumberFormat="1" applyFont="1" applyFill="1" applyBorder="1"/>
    <xf numFmtId="4" fontId="102" fillId="0" borderId="188" xfId="0" applyNumberFormat="1" applyFont="1" applyBorder="1"/>
    <xf numFmtId="4" fontId="99" fillId="0" borderId="189" xfId="0" applyNumberFormat="1" applyFont="1" applyFill="1" applyBorder="1"/>
    <xf numFmtId="0" fontId="0" fillId="0" borderId="0" xfId="0" applyFont="1" applyBorder="1"/>
    <xf numFmtId="4" fontId="99" fillId="0" borderId="167" xfId="0" applyNumberFormat="1" applyFont="1" applyFill="1" applyBorder="1" applyAlignment="1">
      <alignment horizontal="left" vertical="top" wrapText="1"/>
    </xf>
    <xf numFmtId="4" fontId="99" fillId="0" borderId="17" xfId="0" applyNumberFormat="1" applyFont="1" applyFill="1" applyBorder="1" applyAlignment="1">
      <alignment horizontal="left" vertical="top" wrapText="1"/>
    </xf>
    <xf numFmtId="4" fontId="99" fillId="0" borderId="16" xfId="0" applyNumberFormat="1" applyFont="1" applyFill="1" applyBorder="1" applyAlignment="1">
      <alignment horizontal="left" vertical="top" wrapText="1"/>
    </xf>
    <xf numFmtId="0" fontId="0" fillId="0" borderId="13" xfId="0" applyFont="1" applyBorder="1"/>
  </cellXfs>
  <cellStyles count="161">
    <cellStyle name="20% - Accent1 2" xfId="1"/>
    <cellStyle name="20% - Accent1 3" xfId="2"/>
    <cellStyle name="20% - Accent1 4" xfId="3"/>
    <cellStyle name="20% - Accent2 2" xfId="4"/>
    <cellStyle name="20% - Accent2 3" xfId="5"/>
    <cellStyle name="20% - Accent2 4" xfId="6"/>
    <cellStyle name="20% - Accent3 2" xfId="7"/>
    <cellStyle name="20% - Accent3 3" xfId="8"/>
    <cellStyle name="20% - Accent3 4" xfId="9"/>
    <cellStyle name="20% - Accent4 2" xfId="10"/>
    <cellStyle name="20% - Accent4 3" xfId="11"/>
    <cellStyle name="20% - Accent4 4" xfId="12"/>
    <cellStyle name="20% - Accent5 2" xfId="13"/>
    <cellStyle name="20% - Accent5 3" xfId="14"/>
    <cellStyle name="20% - Accent5 4" xfId="15"/>
    <cellStyle name="20% - Accent6 2" xfId="16"/>
    <cellStyle name="20% - Accent6 3" xfId="17"/>
    <cellStyle name="20% - Accent6 4" xfId="18"/>
    <cellStyle name="40% - Accent1 2" xfId="19"/>
    <cellStyle name="40% - Accent1 3" xfId="20"/>
    <cellStyle name="40% - Accent1 4" xfId="21"/>
    <cellStyle name="40% - Accent2 2" xfId="22"/>
    <cellStyle name="40% - Accent2 3" xfId="23"/>
    <cellStyle name="40% - Accent2 4" xfId="24"/>
    <cellStyle name="40% - Accent3 2" xfId="25"/>
    <cellStyle name="40% - Accent3 3" xfId="26"/>
    <cellStyle name="40% - Accent3 4" xfId="27"/>
    <cellStyle name="40% - Accent4 2" xfId="28"/>
    <cellStyle name="40% - Accent4 3" xfId="29"/>
    <cellStyle name="40% - Accent4 4" xfId="30"/>
    <cellStyle name="40% - Accent5 2" xfId="31"/>
    <cellStyle name="40% - Accent5 3" xfId="32"/>
    <cellStyle name="40% - Accent5 4" xfId="33"/>
    <cellStyle name="40% - Accent6 2" xfId="34"/>
    <cellStyle name="40% - Accent6 3" xfId="35"/>
    <cellStyle name="40% - Accent6 4" xfId="36"/>
    <cellStyle name="60% - Accent1 2" xfId="37"/>
    <cellStyle name="60% - Accent1 3" xfId="38"/>
    <cellStyle name="60% - Accent1 4" xfId="39"/>
    <cellStyle name="60% - Accent2 2" xfId="40"/>
    <cellStyle name="60% - Accent2 3" xfId="41"/>
    <cellStyle name="60% - Accent2 4" xfId="42"/>
    <cellStyle name="60% - Accent3 2" xfId="43"/>
    <cellStyle name="60% - Accent3 3" xfId="44"/>
    <cellStyle name="60% - Accent3 4" xfId="45"/>
    <cellStyle name="60% - Accent4 2" xfId="46"/>
    <cellStyle name="60% - Accent4 3" xfId="47"/>
    <cellStyle name="60% - Accent4 4" xfId="48"/>
    <cellStyle name="60% - Accent5 2" xfId="49"/>
    <cellStyle name="60% - Accent5 3" xfId="50"/>
    <cellStyle name="60% - Accent5 4" xfId="51"/>
    <cellStyle name="60% - Accent6 2" xfId="52"/>
    <cellStyle name="60% - Accent6 3" xfId="53"/>
    <cellStyle name="60% - Accent6 4" xfId="54"/>
    <cellStyle name="Accent1 2" xfId="55"/>
    <cellStyle name="Accent1 3" xfId="56"/>
    <cellStyle name="Accent1 4" xfId="57"/>
    <cellStyle name="Accent2 2" xfId="58"/>
    <cellStyle name="Accent2 3" xfId="59"/>
    <cellStyle name="Accent2 4" xfId="60"/>
    <cellStyle name="Accent3 2" xfId="61"/>
    <cellStyle name="Accent3 3" xfId="62"/>
    <cellStyle name="Accent3 4" xfId="63"/>
    <cellStyle name="Accent4 2" xfId="64"/>
    <cellStyle name="Accent4 3" xfId="65"/>
    <cellStyle name="Accent4 4" xfId="66"/>
    <cellStyle name="Accent5 2" xfId="67"/>
    <cellStyle name="Accent5 3" xfId="68"/>
    <cellStyle name="Accent5 4" xfId="69"/>
    <cellStyle name="Accent6 2" xfId="70"/>
    <cellStyle name="Accent6 3" xfId="71"/>
    <cellStyle name="Accent6 4" xfId="72"/>
    <cellStyle name="Bad 2" xfId="73"/>
    <cellStyle name="Bad 3" xfId="74"/>
    <cellStyle name="Bad 4" xfId="75"/>
    <cellStyle name="Calculation 2" xfId="76"/>
    <cellStyle name="Calculation 3" xfId="77"/>
    <cellStyle name="Calculation 4" xfId="78"/>
    <cellStyle name="Check Cell 2" xfId="79"/>
    <cellStyle name="Check Cell 3" xfId="80"/>
    <cellStyle name="Check Cell 4" xfId="81"/>
    <cellStyle name="Comma" xfId="82" builtinId="3"/>
    <cellStyle name="Comma 2" xfId="83"/>
    <cellStyle name="Comma 4" xfId="84"/>
    <cellStyle name="Comma 4 2" xfId="85"/>
    <cellStyle name="Explanatory Text 2" xfId="86"/>
    <cellStyle name="Explanatory Text 3" xfId="87"/>
    <cellStyle name="Explanatory Text 4" xfId="88"/>
    <cellStyle name="Good 2" xfId="89"/>
    <cellStyle name="Good 3" xfId="90"/>
    <cellStyle name="Good 4" xfId="91"/>
    <cellStyle name="Heading 1 2" xfId="92"/>
    <cellStyle name="Heading 1 3" xfId="93"/>
    <cellStyle name="Heading 1 4" xfId="94"/>
    <cellStyle name="Heading 2 2" xfId="95"/>
    <cellStyle name="Heading 2 3" xfId="96"/>
    <cellStyle name="Heading 2 4" xfId="97"/>
    <cellStyle name="Heading 3 2" xfId="98"/>
    <cellStyle name="Heading 3 3" xfId="99"/>
    <cellStyle name="Heading 3 4" xfId="100"/>
    <cellStyle name="Heading 4 2" xfId="101"/>
    <cellStyle name="Heading 4 3" xfId="102"/>
    <cellStyle name="Heading 4 4" xfId="103"/>
    <cellStyle name="Hyperlink" xfId="159" builtinId="8"/>
    <cellStyle name="Input 2" xfId="104"/>
    <cellStyle name="Input 3" xfId="105"/>
    <cellStyle name="Input 4" xfId="106"/>
    <cellStyle name="Linked Cell 2" xfId="107"/>
    <cellStyle name="Linked Cell 3" xfId="108"/>
    <cellStyle name="Linked Cell 4" xfId="109"/>
    <cellStyle name="Neutral 2" xfId="110"/>
    <cellStyle name="Neutral 3" xfId="111"/>
    <cellStyle name="Neutral 4" xfId="112"/>
    <cellStyle name="Normal" xfId="0" builtinId="0"/>
    <cellStyle name="Normal 10" xfId="113"/>
    <cellStyle name="Normal 11" xfId="114"/>
    <cellStyle name="Normal 12" xfId="115"/>
    <cellStyle name="Normal 13" xfId="116"/>
    <cellStyle name="Normal 14" xfId="117"/>
    <cellStyle name="Normal 2" xfId="118"/>
    <cellStyle name="Normal 2 2" xfId="160"/>
    <cellStyle name="Normal 2 4" xfId="119"/>
    <cellStyle name="Normal 23" xfId="120"/>
    <cellStyle name="Normal 28" xfId="121"/>
    <cellStyle name="Normal 29 2" xfId="122"/>
    <cellStyle name="Normal 3" xfId="123"/>
    <cellStyle name="Normal 3 2" xfId="124"/>
    <cellStyle name="Normal 30" xfId="125"/>
    <cellStyle name="Normal 31" xfId="126"/>
    <cellStyle name="Normal 32" xfId="127"/>
    <cellStyle name="Normal 33" xfId="128"/>
    <cellStyle name="Normal 35" xfId="129"/>
    <cellStyle name="Normal 36" xfId="130"/>
    <cellStyle name="Normal 37" xfId="131"/>
    <cellStyle name="Normal 38" xfId="132"/>
    <cellStyle name="Normal 39" xfId="133"/>
    <cellStyle name="Normal 4" xfId="134"/>
    <cellStyle name="Normal 40" xfId="135"/>
    <cellStyle name="Normal 5" xfId="136"/>
    <cellStyle name="Normal 6" xfId="137"/>
    <cellStyle name="Normal 7" xfId="138"/>
    <cellStyle name="Normal_250 Villa checked " xfId="139"/>
    <cellStyle name="Normal_ADABAY Total Bill of Qty for Expansive soil" xfId="140"/>
    <cellStyle name="Normal_awassa cost efficent" xfId="141"/>
    <cellStyle name="Note 2" xfId="142"/>
    <cellStyle name="Note 3" xfId="143"/>
    <cellStyle name="Note 4" xfId="144"/>
    <cellStyle name="Output 2" xfId="145"/>
    <cellStyle name="Output 3" xfId="146"/>
    <cellStyle name="Output 4" xfId="147"/>
    <cellStyle name="Percent 2" xfId="148"/>
    <cellStyle name="Style 1" xfId="149"/>
    <cellStyle name="Title 2" xfId="150"/>
    <cellStyle name="Title 3" xfId="151"/>
    <cellStyle name="Title 4" xfId="152"/>
    <cellStyle name="Total 2" xfId="153"/>
    <cellStyle name="Total 3" xfId="154"/>
    <cellStyle name="Total 4" xfId="155"/>
    <cellStyle name="Warning Text 2" xfId="156"/>
    <cellStyle name="Warning Text 3" xfId="157"/>
    <cellStyle name="Warning Text 4" xfId="15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2" name="TextBox 1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3" name="TextBox 2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4" name="TextBox 3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5" name="TextBox 4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450159</xdr:colOff>
      <xdr:row>0</xdr:row>
      <xdr:rowOff>0</xdr:rowOff>
    </xdr:from>
    <xdr:ext cx="312137" cy="264560"/>
    <xdr:sp macro="" textlink="">
      <xdr:nvSpPr>
        <xdr:cNvPr id="6" name="TextBox 5"/>
        <xdr:cNvSpPr txBox="1"/>
      </xdr:nvSpPr>
      <xdr:spPr>
        <a:xfrm>
          <a:off x="1669359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54</xdr:row>
      <xdr:rowOff>0</xdr:rowOff>
    </xdr:from>
    <xdr:ext cx="312137" cy="264560"/>
    <xdr:sp macro="" textlink="">
      <xdr:nvSpPr>
        <xdr:cNvPr id="7" name="TextBox 6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54</xdr:row>
      <xdr:rowOff>0</xdr:rowOff>
    </xdr:from>
    <xdr:ext cx="312137" cy="264560"/>
    <xdr:sp macro="" textlink="">
      <xdr:nvSpPr>
        <xdr:cNvPr id="8" name="TextBox 7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54</xdr:row>
      <xdr:rowOff>0</xdr:rowOff>
    </xdr:from>
    <xdr:ext cx="312137" cy="264560"/>
    <xdr:sp macro="" textlink="">
      <xdr:nvSpPr>
        <xdr:cNvPr id="9" name="TextBox 8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54</xdr:row>
      <xdr:rowOff>0</xdr:rowOff>
    </xdr:from>
    <xdr:ext cx="312137" cy="264560"/>
    <xdr:sp macro="" textlink="">
      <xdr:nvSpPr>
        <xdr:cNvPr id="10" name="TextBox 9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450159</xdr:colOff>
      <xdr:row>54</xdr:row>
      <xdr:rowOff>0</xdr:rowOff>
    </xdr:from>
    <xdr:ext cx="312137" cy="264560"/>
    <xdr:sp macro="" textlink="">
      <xdr:nvSpPr>
        <xdr:cNvPr id="11" name="TextBox 10"/>
        <xdr:cNvSpPr txBox="1"/>
      </xdr:nvSpPr>
      <xdr:spPr>
        <a:xfrm>
          <a:off x="1669359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2" name="TextBox 1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3" name="TextBox 2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4" name="TextBox 3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5" name="TextBox 4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450159</xdr:colOff>
      <xdr:row>0</xdr:row>
      <xdr:rowOff>0</xdr:rowOff>
    </xdr:from>
    <xdr:ext cx="312137" cy="264560"/>
    <xdr:sp macro="" textlink="">
      <xdr:nvSpPr>
        <xdr:cNvPr id="6" name="TextBox 5"/>
        <xdr:cNvSpPr txBox="1"/>
      </xdr:nvSpPr>
      <xdr:spPr>
        <a:xfrm>
          <a:off x="1669359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51</xdr:row>
      <xdr:rowOff>0</xdr:rowOff>
    </xdr:from>
    <xdr:ext cx="312137" cy="264560"/>
    <xdr:sp macro="" textlink="">
      <xdr:nvSpPr>
        <xdr:cNvPr id="7" name="TextBox 6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51</xdr:row>
      <xdr:rowOff>0</xdr:rowOff>
    </xdr:from>
    <xdr:ext cx="312137" cy="264560"/>
    <xdr:sp macro="" textlink="">
      <xdr:nvSpPr>
        <xdr:cNvPr id="8" name="TextBox 7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51</xdr:row>
      <xdr:rowOff>0</xdr:rowOff>
    </xdr:from>
    <xdr:ext cx="312137" cy="264560"/>
    <xdr:sp macro="" textlink="">
      <xdr:nvSpPr>
        <xdr:cNvPr id="9" name="TextBox 8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51</xdr:row>
      <xdr:rowOff>0</xdr:rowOff>
    </xdr:from>
    <xdr:ext cx="312137" cy="264560"/>
    <xdr:sp macro="" textlink="">
      <xdr:nvSpPr>
        <xdr:cNvPr id="10" name="TextBox 9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450159</xdr:colOff>
      <xdr:row>51</xdr:row>
      <xdr:rowOff>0</xdr:rowOff>
    </xdr:from>
    <xdr:ext cx="312137" cy="264560"/>
    <xdr:sp macro="" textlink="">
      <xdr:nvSpPr>
        <xdr:cNvPr id="11" name="TextBox 10"/>
        <xdr:cNvSpPr txBox="1"/>
      </xdr:nvSpPr>
      <xdr:spPr>
        <a:xfrm>
          <a:off x="1669359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446349</xdr:colOff>
      <xdr:row>73</xdr:row>
      <xdr:rowOff>0</xdr:rowOff>
    </xdr:from>
    <xdr:ext cx="312137" cy="264560"/>
    <xdr:sp macro="" textlink="">
      <xdr:nvSpPr>
        <xdr:cNvPr id="11" name="TextBox 10"/>
        <xdr:cNvSpPr txBox="1"/>
      </xdr:nvSpPr>
      <xdr:spPr>
        <a:xfrm>
          <a:off x="1723327" y="1148233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446349</xdr:colOff>
      <xdr:row>73</xdr:row>
      <xdr:rowOff>0</xdr:rowOff>
    </xdr:from>
    <xdr:ext cx="312137" cy="264560"/>
    <xdr:sp macro="" textlink="">
      <xdr:nvSpPr>
        <xdr:cNvPr id="15" name="TextBox 14"/>
        <xdr:cNvSpPr txBox="1"/>
      </xdr:nvSpPr>
      <xdr:spPr>
        <a:xfrm>
          <a:off x="1723327" y="1148233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446349</xdr:colOff>
      <xdr:row>0</xdr:row>
      <xdr:rowOff>0</xdr:rowOff>
    </xdr:from>
    <xdr:ext cx="312137" cy="264560"/>
    <xdr:sp macro="" textlink="">
      <xdr:nvSpPr>
        <xdr:cNvPr id="4" name="TextBox 3"/>
        <xdr:cNvSpPr txBox="1"/>
      </xdr:nvSpPr>
      <xdr:spPr>
        <a:xfrm>
          <a:off x="1723327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453969</xdr:colOff>
      <xdr:row>0</xdr:row>
      <xdr:rowOff>0</xdr:rowOff>
    </xdr:from>
    <xdr:ext cx="312137" cy="264560"/>
    <xdr:sp macro="" textlink="">
      <xdr:nvSpPr>
        <xdr:cNvPr id="5" name="TextBox 4"/>
        <xdr:cNvSpPr txBox="1"/>
      </xdr:nvSpPr>
      <xdr:spPr>
        <a:xfrm>
          <a:off x="1730947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446349</xdr:colOff>
      <xdr:row>66</xdr:row>
      <xdr:rowOff>0</xdr:rowOff>
    </xdr:from>
    <xdr:ext cx="312137" cy="264560"/>
    <xdr:sp macro="" textlink="">
      <xdr:nvSpPr>
        <xdr:cNvPr id="6" name="TextBox 5"/>
        <xdr:cNvSpPr txBox="1"/>
      </xdr:nvSpPr>
      <xdr:spPr>
        <a:xfrm>
          <a:off x="1723327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453969</xdr:colOff>
      <xdr:row>66</xdr:row>
      <xdr:rowOff>0</xdr:rowOff>
    </xdr:from>
    <xdr:ext cx="312137" cy="264560"/>
    <xdr:sp macro="" textlink="">
      <xdr:nvSpPr>
        <xdr:cNvPr id="7" name="TextBox 6"/>
        <xdr:cNvSpPr txBox="1"/>
      </xdr:nvSpPr>
      <xdr:spPr>
        <a:xfrm>
          <a:off x="1730947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446349</xdr:colOff>
      <xdr:row>137</xdr:row>
      <xdr:rowOff>0</xdr:rowOff>
    </xdr:from>
    <xdr:ext cx="312137" cy="264560"/>
    <xdr:sp macro="" textlink="">
      <xdr:nvSpPr>
        <xdr:cNvPr id="8" name="TextBox 7"/>
        <xdr:cNvSpPr txBox="1"/>
      </xdr:nvSpPr>
      <xdr:spPr>
        <a:xfrm>
          <a:off x="1723327" y="14434038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446349</xdr:colOff>
      <xdr:row>137</xdr:row>
      <xdr:rowOff>0</xdr:rowOff>
    </xdr:from>
    <xdr:ext cx="312137" cy="264560"/>
    <xdr:sp macro="" textlink="">
      <xdr:nvSpPr>
        <xdr:cNvPr id="9" name="TextBox 8"/>
        <xdr:cNvSpPr txBox="1"/>
      </xdr:nvSpPr>
      <xdr:spPr>
        <a:xfrm>
          <a:off x="1723327" y="14434038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446349</xdr:colOff>
      <xdr:row>130</xdr:row>
      <xdr:rowOff>0</xdr:rowOff>
    </xdr:from>
    <xdr:ext cx="312137" cy="264560"/>
    <xdr:sp macro="" textlink="">
      <xdr:nvSpPr>
        <xdr:cNvPr id="10" name="TextBox 9"/>
        <xdr:cNvSpPr txBox="1"/>
      </xdr:nvSpPr>
      <xdr:spPr>
        <a:xfrm>
          <a:off x="1723327" y="13115192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453969</xdr:colOff>
      <xdr:row>130</xdr:row>
      <xdr:rowOff>0</xdr:rowOff>
    </xdr:from>
    <xdr:ext cx="312137" cy="264560"/>
    <xdr:sp macro="" textlink="">
      <xdr:nvSpPr>
        <xdr:cNvPr id="12" name="TextBox 11"/>
        <xdr:cNvSpPr txBox="1"/>
      </xdr:nvSpPr>
      <xdr:spPr>
        <a:xfrm>
          <a:off x="1730947" y="13115192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446349</xdr:colOff>
      <xdr:row>201</xdr:row>
      <xdr:rowOff>0</xdr:rowOff>
    </xdr:from>
    <xdr:ext cx="312137" cy="264560"/>
    <xdr:sp macro="" textlink="">
      <xdr:nvSpPr>
        <xdr:cNvPr id="13" name="TextBox 12"/>
        <xdr:cNvSpPr txBox="1"/>
      </xdr:nvSpPr>
      <xdr:spPr>
        <a:xfrm>
          <a:off x="1723327" y="2661766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446349</xdr:colOff>
      <xdr:row>201</xdr:row>
      <xdr:rowOff>0</xdr:rowOff>
    </xdr:from>
    <xdr:ext cx="312137" cy="264560"/>
    <xdr:sp macro="" textlink="">
      <xdr:nvSpPr>
        <xdr:cNvPr id="14" name="TextBox 13"/>
        <xdr:cNvSpPr txBox="1"/>
      </xdr:nvSpPr>
      <xdr:spPr>
        <a:xfrm>
          <a:off x="1723327" y="2661766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446349</xdr:colOff>
      <xdr:row>194</xdr:row>
      <xdr:rowOff>0</xdr:rowOff>
    </xdr:from>
    <xdr:ext cx="312137" cy="264560"/>
    <xdr:sp macro="" textlink="">
      <xdr:nvSpPr>
        <xdr:cNvPr id="16" name="TextBox 15"/>
        <xdr:cNvSpPr txBox="1"/>
      </xdr:nvSpPr>
      <xdr:spPr>
        <a:xfrm>
          <a:off x="1723327" y="25298819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453969</xdr:colOff>
      <xdr:row>194</xdr:row>
      <xdr:rowOff>0</xdr:rowOff>
    </xdr:from>
    <xdr:ext cx="312137" cy="264560"/>
    <xdr:sp macro="" textlink="">
      <xdr:nvSpPr>
        <xdr:cNvPr id="17" name="TextBox 16"/>
        <xdr:cNvSpPr txBox="1"/>
      </xdr:nvSpPr>
      <xdr:spPr>
        <a:xfrm>
          <a:off x="1730947" y="25298819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2" name="TextBox 1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3" name="TextBox 2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4" name="TextBox 3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5" name="TextBox 4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450159</xdr:colOff>
      <xdr:row>0</xdr:row>
      <xdr:rowOff>0</xdr:rowOff>
    </xdr:from>
    <xdr:ext cx="312137" cy="264560"/>
    <xdr:sp macro="" textlink="">
      <xdr:nvSpPr>
        <xdr:cNvPr id="6" name="TextBox 5"/>
        <xdr:cNvSpPr txBox="1"/>
      </xdr:nvSpPr>
      <xdr:spPr>
        <a:xfrm>
          <a:off x="1669359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7" name="TextBox 6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8" name="TextBox 7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9" name="TextBox 8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10" name="TextBox 9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450159</xdr:colOff>
      <xdr:row>0</xdr:row>
      <xdr:rowOff>0</xdr:rowOff>
    </xdr:from>
    <xdr:ext cx="312137" cy="264560"/>
    <xdr:sp macro="" textlink="">
      <xdr:nvSpPr>
        <xdr:cNvPr id="11" name="TextBox 10"/>
        <xdr:cNvSpPr txBox="1"/>
      </xdr:nvSpPr>
      <xdr:spPr>
        <a:xfrm>
          <a:off x="1669359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2" name="TextBox 1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3" name="TextBox 2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4" name="TextBox 3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440634</xdr:colOff>
      <xdr:row>0</xdr:row>
      <xdr:rowOff>0</xdr:rowOff>
    </xdr:from>
    <xdr:ext cx="312137" cy="264560"/>
    <xdr:sp macro="" textlink="">
      <xdr:nvSpPr>
        <xdr:cNvPr id="5" name="TextBox 4"/>
        <xdr:cNvSpPr txBox="1"/>
      </xdr:nvSpPr>
      <xdr:spPr>
        <a:xfrm>
          <a:off x="165983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450159</xdr:colOff>
      <xdr:row>0</xdr:row>
      <xdr:rowOff>0</xdr:rowOff>
    </xdr:from>
    <xdr:ext cx="312137" cy="264560"/>
    <xdr:sp macro="" textlink="">
      <xdr:nvSpPr>
        <xdr:cNvPr id="6" name="TextBox 5"/>
        <xdr:cNvSpPr txBox="1"/>
      </xdr:nvSpPr>
      <xdr:spPr>
        <a:xfrm>
          <a:off x="1669359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448254</xdr:colOff>
      <xdr:row>2</xdr:row>
      <xdr:rowOff>0</xdr:rowOff>
    </xdr:from>
    <xdr:ext cx="312137" cy="264560"/>
    <xdr:sp macro="" textlink="">
      <xdr:nvSpPr>
        <xdr:cNvPr id="2" name="TextBox 1"/>
        <xdr:cNvSpPr txBox="1"/>
      </xdr:nvSpPr>
      <xdr:spPr>
        <a:xfrm>
          <a:off x="2000829" y="1352550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448254</xdr:colOff>
      <xdr:row>66</xdr:row>
      <xdr:rowOff>0</xdr:rowOff>
    </xdr:from>
    <xdr:ext cx="312137" cy="264560"/>
    <xdr:sp macro="" textlink="">
      <xdr:nvSpPr>
        <xdr:cNvPr id="3" name="TextBox 2"/>
        <xdr:cNvSpPr txBox="1"/>
      </xdr:nvSpPr>
      <xdr:spPr>
        <a:xfrm>
          <a:off x="1448379" y="39052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448254</xdr:colOff>
      <xdr:row>141</xdr:row>
      <xdr:rowOff>0</xdr:rowOff>
    </xdr:from>
    <xdr:ext cx="312137" cy="264560"/>
    <xdr:sp macro="" textlink="">
      <xdr:nvSpPr>
        <xdr:cNvPr id="4" name="TextBox 3"/>
        <xdr:cNvSpPr txBox="1"/>
      </xdr:nvSpPr>
      <xdr:spPr>
        <a:xfrm>
          <a:off x="1448379" y="1275397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448254</xdr:colOff>
      <xdr:row>211</xdr:row>
      <xdr:rowOff>0</xdr:rowOff>
    </xdr:from>
    <xdr:ext cx="312137" cy="264560"/>
    <xdr:sp macro="" textlink="">
      <xdr:nvSpPr>
        <xdr:cNvPr id="5" name="TextBox 4"/>
        <xdr:cNvSpPr txBox="1"/>
      </xdr:nvSpPr>
      <xdr:spPr>
        <a:xfrm>
          <a:off x="1765879" y="2728912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448254</xdr:colOff>
      <xdr:row>0</xdr:row>
      <xdr:rowOff>0</xdr:rowOff>
    </xdr:from>
    <xdr:ext cx="312137" cy="264560"/>
    <xdr:sp macro="" textlink="">
      <xdr:nvSpPr>
        <xdr:cNvPr id="2" name="TextBox 1"/>
        <xdr:cNvSpPr txBox="1"/>
      </xdr:nvSpPr>
      <xdr:spPr>
        <a:xfrm>
          <a:off x="220085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448254</xdr:colOff>
      <xdr:row>60</xdr:row>
      <xdr:rowOff>0</xdr:rowOff>
    </xdr:from>
    <xdr:ext cx="312137" cy="264560"/>
    <xdr:sp macro="" textlink="">
      <xdr:nvSpPr>
        <xdr:cNvPr id="3" name="TextBox 2"/>
        <xdr:cNvSpPr txBox="1"/>
      </xdr:nvSpPr>
      <xdr:spPr>
        <a:xfrm>
          <a:off x="166745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448254</xdr:colOff>
      <xdr:row>130</xdr:row>
      <xdr:rowOff>0</xdr:rowOff>
    </xdr:from>
    <xdr:ext cx="312137" cy="264560"/>
    <xdr:sp macro="" textlink="">
      <xdr:nvSpPr>
        <xdr:cNvPr id="4" name="TextBox 3"/>
        <xdr:cNvSpPr txBox="1"/>
      </xdr:nvSpPr>
      <xdr:spPr>
        <a:xfrm>
          <a:off x="2000829" y="1352550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431109</xdr:colOff>
      <xdr:row>8</xdr:row>
      <xdr:rowOff>76449</xdr:rowOff>
    </xdr:from>
    <xdr:ext cx="248401" cy="264560"/>
    <xdr:sp macro="" textlink="">
      <xdr:nvSpPr>
        <xdr:cNvPr id="14" name="TextBox 13"/>
        <xdr:cNvSpPr txBox="1"/>
      </xdr:nvSpPr>
      <xdr:spPr>
        <a:xfrm>
          <a:off x="2789315" y="1612739"/>
          <a:ext cx="2484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</a:t>
          </a:r>
          <a:endParaRPr lang="en-US" sz="1100"/>
        </a:p>
      </xdr:txBody>
    </xdr:sp>
    <xdr:clientData/>
  </xdr:oneCellAnchor>
  <xdr:oneCellAnchor>
    <xdr:from>
      <xdr:col>0</xdr:col>
      <xdr:colOff>593500</xdr:colOff>
      <xdr:row>46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1738036" y="1236713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/>
        </a:p>
      </xdr:txBody>
    </xdr:sp>
    <xdr:clientData/>
  </xdr:oneCellAnchor>
  <xdr:oneCellAnchor>
    <xdr:from>
      <xdr:col>3</xdr:col>
      <xdr:colOff>431109</xdr:colOff>
      <xdr:row>46</xdr:row>
      <xdr:rowOff>0</xdr:rowOff>
    </xdr:from>
    <xdr:ext cx="248401" cy="264560"/>
    <xdr:sp macro="" textlink="">
      <xdr:nvSpPr>
        <xdr:cNvPr id="4" name="TextBox 3"/>
        <xdr:cNvSpPr txBox="1"/>
      </xdr:nvSpPr>
      <xdr:spPr>
        <a:xfrm>
          <a:off x="2793309" y="1600449"/>
          <a:ext cx="2484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</a:t>
          </a:r>
          <a:endParaRPr lang="en-US" sz="1100"/>
        </a:p>
      </xdr:txBody>
    </xdr:sp>
    <xdr:clientData/>
  </xdr:oneCellAnchor>
  <xdr:oneCellAnchor>
    <xdr:from>
      <xdr:col>3</xdr:col>
      <xdr:colOff>431109</xdr:colOff>
      <xdr:row>55</xdr:row>
      <xdr:rowOff>76449</xdr:rowOff>
    </xdr:from>
    <xdr:ext cx="248401" cy="264560"/>
    <xdr:sp macro="" textlink="">
      <xdr:nvSpPr>
        <xdr:cNvPr id="8" name="TextBox 7"/>
        <xdr:cNvSpPr txBox="1"/>
      </xdr:nvSpPr>
      <xdr:spPr>
        <a:xfrm>
          <a:off x="3364809" y="1600449"/>
          <a:ext cx="2484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17</xdr:col>
      <xdr:colOff>38100</xdr:colOff>
      <xdr:row>2</xdr:row>
      <xdr:rowOff>85725</xdr:rowOff>
    </xdr:to>
    <xdr:pic>
      <xdr:nvPicPr>
        <xdr:cNvPr id="1392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96250" y="0"/>
          <a:ext cx="4305300" cy="466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0</xdr:colOff>
      <xdr:row>0</xdr:row>
      <xdr:rowOff>0</xdr:rowOff>
    </xdr:from>
    <xdr:ext cx="312137" cy="264560"/>
    <xdr:sp macro="" textlink="">
      <xdr:nvSpPr>
        <xdr:cNvPr id="14" name="TextBox 13"/>
        <xdr:cNvSpPr txBox="1"/>
      </xdr:nvSpPr>
      <xdr:spPr>
        <a:xfrm>
          <a:off x="2204167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1</xdr:col>
      <xdr:colOff>0</xdr:colOff>
      <xdr:row>86</xdr:row>
      <xdr:rowOff>22114</xdr:rowOff>
    </xdr:from>
    <xdr:ext cx="312137" cy="264560"/>
    <xdr:sp macro="" textlink="">
      <xdr:nvSpPr>
        <xdr:cNvPr id="8" name="TextBox 7"/>
        <xdr:cNvSpPr txBox="1"/>
      </xdr:nvSpPr>
      <xdr:spPr>
        <a:xfrm>
          <a:off x="2204167" y="10574157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1</xdr:col>
      <xdr:colOff>0</xdr:colOff>
      <xdr:row>86</xdr:row>
      <xdr:rowOff>22114</xdr:rowOff>
    </xdr:from>
    <xdr:ext cx="312137" cy="264560"/>
    <xdr:sp macro="" textlink="">
      <xdr:nvSpPr>
        <xdr:cNvPr id="6" name="TextBox 5"/>
        <xdr:cNvSpPr txBox="1"/>
      </xdr:nvSpPr>
      <xdr:spPr>
        <a:xfrm>
          <a:off x="2204167" y="10574157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1</xdr:col>
      <xdr:colOff>0</xdr:colOff>
      <xdr:row>85</xdr:row>
      <xdr:rowOff>323021</xdr:rowOff>
    </xdr:from>
    <xdr:ext cx="351526" cy="273683"/>
    <xdr:sp macro="" textlink="">
      <xdr:nvSpPr>
        <xdr:cNvPr id="18" name="TextBox 17"/>
        <xdr:cNvSpPr txBox="1"/>
      </xdr:nvSpPr>
      <xdr:spPr>
        <a:xfrm>
          <a:off x="1238415" y="9773478"/>
          <a:ext cx="3610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/>
        </a:p>
      </xdr:txBody>
    </xdr:sp>
    <xdr:clientData/>
  </xdr:oneCellAnchor>
  <xdr:oneCellAnchor>
    <xdr:from>
      <xdr:col>0</xdr:col>
      <xdr:colOff>791320</xdr:colOff>
      <xdr:row>85</xdr:row>
      <xdr:rowOff>323021</xdr:rowOff>
    </xdr:from>
    <xdr:ext cx="346869" cy="273683"/>
    <xdr:sp macro="" textlink="">
      <xdr:nvSpPr>
        <xdr:cNvPr id="19" name="TextBox 18"/>
        <xdr:cNvSpPr txBox="1"/>
      </xdr:nvSpPr>
      <xdr:spPr>
        <a:xfrm>
          <a:off x="810370" y="9773478"/>
          <a:ext cx="3468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/>
        </a:p>
      </xdr:txBody>
    </xdr:sp>
    <xdr:clientData/>
  </xdr:oneCellAnchor>
  <xdr:oneCellAnchor>
    <xdr:from>
      <xdr:col>1</xdr:col>
      <xdr:colOff>0</xdr:colOff>
      <xdr:row>85</xdr:row>
      <xdr:rowOff>323021</xdr:rowOff>
    </xdr:from>
    <xdr:ext cx="353659" cy="273683"/>
    <xdr:sp macro="" textlink="">
      <xdr:nvSpPr>
        <xdr:cNvPr id="21" name="TextBox 20"/>
        <xdr:cNvSpPr txBox="1"/>
      </xdr:nvSpPr>
      <xdr:spPr>
        <a:xfrm>
          <a:off x="1618753" y="9773478"/>
          <a:ext cx="3536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/>
        </a:p>
      </xdr:txBody>
    </xdr:sp>
    <xdr:clientData/>
  </xdr:oneCellAnchor>
  <xdr:oneCellAnchor>
    <xdr:from>
      <xdr:col>0</xdr:col>
      <xdr:colOff>1127760</xdr:colOff>
      <xdr:row>86</xdr:row>
      <xdr:rowOff>22114</xdr:rowOff>
    </xdr:from>
    <xdr:ext cx="184731" cy="264560"/>
    <xdr:sp macro="" textlink="">
      <xdr:nvSpPr>
        <xdr:cNvPr id="22" name="TextBox 21"/>
        <xdr:cNvSpPr txBox="1"/>
      </xdr:nvSpPr>
      <xdr:spPr>
        <a:xfrm>
          <a:off x="1127760" y="105741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/>
        </a:p>
      </xdr:txBody>
    </xdr:sp>
    <xdr:clientData/>
  </xdr:oneCellAnchor>
  <xdr:oneCellAnchor>
    <xdr:from>
      <xdr:col>1</xdr:col>
      <xdr:colOff>0</xdr:colOff>
      <xdr:row>86</xdr:row>
      <xdr:rowOff>22114</xdr:rowOff>
    </xdr:from>
    <xdr:ext cx="184731" cy="264560"/>
    <xdr:sp macro="" textlink="">
      <xdr:nvSpPr>
        <xdr:cNvPr id="23" name="TextBox 22"/>
        <xdr:cNvSpPr txBox="1"/>
      </xdr:nvSpPr>
      <xdr:spPr>
        <a:xfrm>
          <a:off x="1734958" y="105741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/>
        </a:p>
      </xdr:txBody>
    </xdr:sp>
    <xdr:clientData/>
  </xdr:oneCellAnchor>
  <xdr:oneCellAnchor>
    <xdr:from>
      <xdr:col>1</xdr:col>
      <xdr:colOff>0</xdr:colOff>
      <xdr:row>86</xdr:row>
      <xdr:rowOff>22114</xdr:rowOff>
    </xdr:from>
    <xdr:ext cx="312137" cy="264560"/>
    <xdr:sp macro="" textlink="">
      <xdr:nvSpPr>
        <xdr:cNvPr id="17" name="TextBox 16"/>
        <xdr:cNvSpPr txBox="1"/>
      </xdr:nvSpPr>
      <xdr:spPr>
        <a:xfrm>
          <a:off x="2204167" y="10574157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0</xdr:col>
      <xdr:colOff>593500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593500" y="1645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/>
        </a:p>
      </xdr:txBody>
    </xdr:sp>
    <xdr:clientData/>
  </xdr:oneCellAnchor>
  <xdr:oneCellAnchor>
    <xdr:from>
      <xdr:col>1</xdr:col>
      <xdr:colOff>431109</xdr:colOff>
      <xdr:row>8</xdr:row>
      <xdr:rowOff>76449</xdr:rowOff>
    </xdr:from>
    <xdr:ext cx="248401" cy="264560"/>
    <xdr:sp macro="" textlink="">
      <xdr:nvSpPr>
        <xdr:cNvPr id="13" name="TextBox 12"/>
        <xdr:cNvSpPr txBox="1"/>
      </xdr:nvSpPr>
      <xdr:spPr>
        <a:xfrm>
          <a:off x="2793309" y="14430624"/>
          <a:ext cx="2484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</a:t>
          </a:r>
          <a:endParaRPr lang="en-US" sz="1100"/>
        </a:p>
      </xdr:txBody>
    </xdr:sp>
    <xdr:clientData/>
  </xdr:oneCellAnchor>
  <xdr:oneCellAnchor>
    <xdr:from>
      <xdr:col>1</xdr:col>
      <xdr:colOff>0</xdr:colOff>
      <xdr:row>56</xdr:row>
      <xdr:rowOff>0</xdr:rowOff>
    </xdr:from>
    <xdr:ext cx="312137" cy="264560"/>
    <xdr:sp macro="" textlink="">
      <xdr:nvSpPr>
        <xdr:cNvPr id="15" name="TextBox 14"/>
        <xdr:cNvSpPr txBox="1"/>
      </xdr:nvSpPr>
      <xdr:spPr>
        <a:xfrm>
          <a:off x="2368826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448254</xdr:colOff>
      <xdr:row>0</xdr:row>
      <xdr:rowOff>0</xdr:rowOff>
    </xdr:from>
    <xdr:ext cx="312137" cy="264560"/>
    <xdr:sp macro="" textlink="">
      <xdr:nvSpPr>
        <xdr:cNvPr id="7" name="TextBox 6"/>
        <xdr:cNvSpPr txBox="1"/>
      </xdr:nvSpPr>
      <xdr:spPr>
        <a:xfrm>
          <a:off x="2204167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19</xdr:col>
      <xdr:colOff>38100</xdr:colOff>
      <xdr:row>0</xdr:row>
      <xdr:rowOff>30861</xdr:rowOff>
    </xdr:to>
    <xdr:pic>
      <xdr:nvPicPr>
        <xdr:cNvPr id="1639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29600" y="13163550"/>
          <a:ext cx="4305300" cy="466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448254</xdr:colOff>
      <xdr:row>0</xdr:row>
      <xdr:rowOff>0</xdr:rowOff>
    </xdr:from>
    <xdr:ext cx="312137" cy="264560"/>
    <xdr:sp macro="" textlink="">
      <xdr:nvSpPr>
        <xdr:cNvPr id="9" name="TextBox 8"/>
        <xdr:cNvSpPr txBox="1"/>
      </xdr:nvSpPr>
      <xdr:spPr>
        <a:xfrm>
          <a:off x="2204167" y="1316106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429204</xdr:colOff>
      <xdr:row>0</xdr:row>
      <xdr:rowOff>0</xdr:rowOff>
    </xdr:from>
    <xdr:ext cx="312137" cy="264560"/>
    <xdr:sp macro="" textlink="">
      <xdr:nvSpPr>
        <xdr:cNvPr id="5" name="TextBox 4"/>
        <xdr:cNvSpPr txBox="1"/>
      </xdr:nvSpPr>
      <xdr:spPr>
        <a:xfrm>
          <a:off x="2185117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429204</xdr:colOff>
      <xdr:row>0</xdr:row>
      <xdr:rowOff>0</xdr:rowOff>
    </xdr:from>
    <xdr:ext cx="312137" cy="264560"/>
    <xdr:sp macro="" textlink="">
      <xdr:nvSpPr>
        <xdr:cNvPr id="6" name="TextBox 5"/>
        <xdr:cNvSpPr txBox="1"/>
      </xdr:nvSpPr>
      <xdr:spPr>
        <a:xfrm>
          <a:off x="2185117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429204</xdr:colOff>
      <xdr:row>0</xdr:row>
      <xdr:rowOff>0</xdr:rowOff>
    </xdr:from>
    <xdr:ext cx="312137" cy="264560"/>
    <xdr:sp macro="" textlink="">
      <xdr:nvSpPr>
        <xdr:cNvPr id="8" name="TextBox 7"/>
        <xdr:cNvSpPr txBox="1"/>
      </xdr:nvSpPr>
      <xdr:spPr>
        <a:xfrm>
          <a:off x="2185117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429204</xdr:colOff>
      <xdr:row>0</xdr:row>
      <xdr:rowOff>0</xdr:rowOff>
    </xdr:from>
    <xdr:ext cx="312137" cy="264560"/>
    <xdr:sp macro="" textlink="">
      <xdr:nvSpPr>
        <xdr:cNvPr id="10" name="TextBox 9"/>
        <xdr:cNvSpPr txBox="1"/>
      </xdr:nvSpPr>
      <xdr:spPr>
        <a:xfrm>
          <a:off x="2185117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448254</xdr:colOff>
      <xdr:row>0</xdr:row>
      <xdr:rowOff>0</xdr:rowOff>
    </xdr:from>
    <xdr:ext cx="312137" cy="264560"/>
    <xdr:sp macro="" textlink="">
      <xdr:nvSpPr>
        <xdr:cNvPr id="11" name="TextBox 10"/>
        <xdr:cNvSpPr txBox="1"/>
      </xdr:nvSpPr>
      <xdr:spPr>
        <a:xfrm>
          <a:off x="2204167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429204</xdr:colOff>
      <xdr:row>0</xdr:row>
      <xdr:rowOff>0</xdr:rowOff>
    </xdr:from>
    <xdr:ext cx="312137" cy="264560"/>
    <xdr:sp macro="" textlink="">
      <xdr:nvSpPr>
        <xdr:cNvPr id="12" name="TextBox 11"/>
        <xdr:cNvSpPr txBox="1"/>
      </xdr:nvSpPr>
      <xdr:spPr>
        <a:xfrm>
          <a:off x="2185117" y="1316106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429204</xdr:colOff>
      <xdr:row>0</xdr:row>
      <xdr:rowOff>0</xdr:rowOff>
    </xdr:from>
    <xdr:ext cx="312137" cy="264560"/>
    <xdr:sp macro="" textlink="">
      <xdr:nvSpPr>
        <xdr:cNvPr id="13" name="TextBox 12"/>
        <xdr:cNvSpPr txBox="1"/>
      </xdr:nvSpPr>
      <xdr:spPr>
        <a:xfrm>
          <a:off x="2185117" y="1316106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429204</xdr:colOff>
      <xdr:row>0</xdr:row>
      <xdr:rowOff>0</xdr:rowOff>
    </xdr:from>
    <xdr:ext cx="312137" cy="264560"/>
    <xdr:sp macro="" textlink="">
      <xdr:nvSpPr>
        <xdr:cNvPr id="14" name="TextBox 13"/>
        <xdr:cNvSpPr txBox="1"/>
      </xdr:nvSpPr>
      <xdr:spPr>
        <a:xfrm>
          <a:off x="2185117" y="1316106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429204</xdr:colOff>
      <xdr:row>0</xdr:row>
      <xdr:rowOff>0</xdr:rowOff>
    </xdr:from>
    <xdr:ext cx="312137" cy="264560"/>
    <xdr:sp macro="" textlink="">
      <xdr:nvSpPr>
        <xdr:cNvPr id="15" name="TextBox 14"/>
        <xdr:cNvSpPr txBox="1"/>
      </xdr:nvSpPr>
      <xdr:spPr>
        <a:xfrm>
          <a:off x="2185117" y="1316106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448254</xdr:colOff>
      <xdr:row>0</xdr:row>
      <xdr:rowOff>0</xdr:rowOff>
    </xdr:from>
    <xdr:ext cx="312137" cy="264560"/>
    <xdr:sp macro="" textlink="">
      <xdr:nvSpPr>
        <xdr:cNvPr id="16" name="TextBox 15"/>
        <xdr:cNvSpPr txBox="1"/>
      </xdr:nvSpPr>
      <xdr:spPr>
        <a:xfrm>
          <a:off x="2204167" y="1316106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448254</xdr:colOff>
      <xdr:row>0</xdr:row>
      <xdr:rowOff>0</xdr:rowOff>
    </xdr:from>
    <xdr:ext cx="312137" cy="264560"/>
    <xdr:sp macro="" textlink="">
      <xdr:nvSpPr>
        <xdr:cNvPr id="17" name="TextBox 16"/>
        <xdr:cNvSpPr txBox="1"/>
      </xdr:nvSpPr>
      <xdr:spPr>
        <a:xfrm>
          <a:off x="2204167" y="2611506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429204</xdr:colOff>
      <xdr:row>0</xdr:row>
      <xdr:rowOff>0</xdr:rowOff>
    </xdr:from>
    <xdr:ext cx="312137" cy="264560"/>
    <xdr:sp macro="" textlink="">
      <xdr:nvSpPr>
        <xdr:cNvPr id="18" name="TextBox 17"/>
        <xdr:cNvSpPr txBox="1"/>
      </xdr:nvSpPr>
      <xdr:spPr>
        <a:xfrm>
          <a:off x="2185117" y="2611506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429204</xdr:colOff>
      <xdr:row>0</xdr:row>
      <xdr:rowOff>0</xdr:rowOff>
    </xdr:from>
    <xdr:ext cx="312137" cy="264560"/>
    <xdr:sp macro="" textlink="">
      <xdr:nvSpPr>
        <xdr:cNvPr id="19" name="TextBox 18"/>
        <xdr:cNvSpPr txBox="1"/>
      </xdr:nvSpPr>
      <xdr:spPr>
        <a:xfrm>
          <a:off x="2185117" y="2611506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429204</xdr:colOff>
      <xdr:row>0</xdr:row>
      <xdr:rowOff>0</xdr:rowOff>
    </xdr:from>
    <xdr:ext cx="312137" cy="264560"/>
    <xdr:sp macro="" textlink="">
      <xdr:nvSpPr>
        <xdr:cNvPr id="20" name="TextBox 19"/>
        <xdr:cNvSpPr txBox="1"/>
      </xdr:nvSpPr>
      <xdr:spPr>
        <a:xfrm>
          <a:off x="2185117" y="2611506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429204</xdr:colOff>
      <xdr:row>0</xdr:row>
      <xdr:rowOff>0</xdr:rowOff>
    </xdr:from>
    <xdr:ext cx="312137" cy="264560"/>
    <xdr:sp macro="" textlink="">
      <xdr:nvSpPr>
        <xdr:cNvPr id="21" name="TextBox 20"/>
        <xdr:cNvSpPr txBox="1"/>
      </xdr:nvSpPr>
      <xdr:spPr>
        <a:xfrm>
          <a:off x="2185117" y="2611506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448254</xdr:colOff>
      <xdr:row>0</xdr:row>
      <xdr:rowOff>0</xdr:rowOff>
    </xdr:from>
    <xdr:ext cx="312137" cy="264560"/>
    <xdr:sp macro="" textlink="">
      <xdr:nvSpPr>
        <xdr:cNvPr id="22" name="TextBox 21"/>
        <xdr:cNvSpPr txBox="1"/>
      </xdr:nvSpPr>
      <xdr:spPr>
        <a:xfrm>
          <a:off x="2204167" y="2611506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448254</xdr:colOff>
      <xdr:row>61</xdr:row>
      <xdr:rowOff>0</xdr:rowOff>
    </xdr:from>
    <xdr:ext cx="312137" cy="264560"/>
    <xdr:sp macro="" textlink="">
      <xdr:nvSpPr>
        <xdr:cNvPr id="23" name="TextBox 22"/>
        <xdr:cNvSpPr txBox="1"/>
      </xdr:nvSpPr>
      <xdr:spPr>
        <a:xfrm>
          <a:off x="2200854" y="2639377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429204</xdr:colOff>
      <xdr:row>61</xdr:row>
      <xdr:rowOff>0</xdr:rowOff>
    </xdr:from>
    <xdr:ext cx="312137" cy="264560"/>
    <xdr:sp macro="" textlink="">
      <xdr:nvSpPr>
        <xdr:cNvPr id="24" name="TextBox 23"/>
        <xdr:cNvSpPr txBox="1"/>
      </xdr:nvSpPr>
      <xdr:spPr>
        <a:xfrm>
          <a:off x="2181804" y="2639377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429204</xdr:colOff>
      <xdr:row>61</xdr:row>
      <xdr:rowOff>0</xdr:rowOff>
    </xdr:from>
    <xdr:ext cx="312137" cy="264560"/>
    <xdr:sp macro="" textlink="">
      <xdr:nvSpPr>
        <xdr:cNvPr id="25" name="TextBox 24"/>
        <xdr:cNvSpPr txBox="1"/>
      </xdr:nvSpPr>
      <xdr:spPr>
        <a:xfrm>
          <a:off x="2181804" y="2639377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429204</xdr:colOff>
      <xdr:row>61</xdr:row>
      <xdr:rowOff>0</xdr:rowOff>
    </xdr:from>
    <xdr:ext cx="312137" cy="264560"/>
    <xdr:sp macro="" textlink="">
      <xdr:nvSpPr>
        <xdr:cNvPr id="26" name="TextBox 25"/>
        <xdr:cNvSpPr txBox="1"/>
      </xdr:nvSpPr>
      <xdr:spPr>
        <a:xfrm>
          <a:off x="2181804" y="2639377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429204</xdr:colOff>
      <xdr:row>61</xdr:row>
      <xdr:rowOff>0</xdr:rowOff>
    </xdr:from>
    <xdr:ext cx="312137" cy="264560"/>
    <xdr:sp macro="" textlink="">
      <xdr:nvSpPr>
        <xdr:cNvPr id="27" name="TextBox 26"/>
        <xdr:cNvSpPr txBox="1"/>
      </xdr:nvSpPr>
      <xdr:spPr>
        <a:xfrm>
          <a:off x="2181804" y="2639377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448254</xdr:colOff>
      <xdr:row>61</xdr:row>
      <xdr:rowOff>0</xdr:rowOff>
    </xdr:from>
    <xdr:ext cx="312137" cy="264560"/>
    <xdr:sp macro="" textlink="">
      <xdr:nvSpPr>
        <xdr:cNvPr id="28" name="TextBox 27"/>
        <xdr:cNvSpPr txBox="1"/>
      </xdr:nvSpPr>
      <xdr:spPr>
        <a:xfrm>
          <a:off x="2200854" y="26393775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160020</xdr:colOff>
      <xdr:row>5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442722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5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442722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5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442722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5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442722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26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4427220" y="1381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63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4427220" y="2143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79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6446520" y="2416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55" name="TextBox 154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56" name="TextBox 155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57" name="TextBox 156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58" name="TextBox 157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59" name="TextBox 158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60" name="TextBox 159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61" name="TextBox 160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62" name="TextBox 161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63" name="TextBox 162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64" name="TextBox 163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65" name="TextBox 164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66" name="TextBox 165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67" name="TextBox 166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68" name="TextBox 167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69" name="TextBox 168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70" name="TextBox 169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71" name="TextBox 170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72" name="TextBox 171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73" name="TextBox 172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74" name="TextBox 173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75" name="TextBox 174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76" name="TextBox 175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160020</xdr:colOff>
      <xdr:row>89</xdr:row>
      <xdr:rowOff>0</xdr:rowOff>
    </xdr:from>
    <xdr:ext cx="184731" cy="264560"/>
    <xdr:sp macro="" textlink="">
      <xdr:nvSpPr>
        <xdr:cNvPr id="177" name="TextBox 176"/>
        <xdr:cNvSpPr txBox="1"/>
      </xdr:nvSpPr>
      <xdr:spPr>
        <a:xfrm>
          <a:off x="6446520" y="3255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438729</xdr:colOff>
      <xdr:row>0</xdr:row>
      <xdr:rowOff>0</xdr:rowOff>
    </xdr:from>
    <xdr:ext cx="312137" cy="264560"/>
    <xdr:sp macro="" textlink="">
      <xdr:nvSpPr>
        <xdr:cNvPr id="2" name="TextBox 1"/>
        <xdr:cNvSpPr txBox="1"/>
      </xdr:nvSpPr>
      <xdr:spPr>
        <a:xfrm>
          <a:off x="1973935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438729</xdr:colOff>
      <xdr:row>0</xdr:row>
      <xdr:rowOff>0</xdr:rowOff>
    </xdr:from>
    <xdr:ext cx="312137" cy="264560"/>
    <xdr:sp macro="" textlink="">
      <xdr:nvSpPr>
        <xdr:cNvPr id="3" name="TextBox 2"/>
        <xdr:cNvSpPr txBox="1"/>
      </xdr:nvSpPr>
      <xdr:spPr>
        <a:xfrm>
          <a:off x="1973935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438729</xdr:colOff>
      <xdr:row>0</xdr:row>
      <xdr:rowOff>0</xdr:rowOff>
    </xdr:from>
    <xdr:ext cx="312137" cy="264560"/>
    <xdr:sp macro="" textlink="">
      <xdr:nvSpPr>
        <xdr:cNvPr id="4" name="TextBox 3"/>
        <xdr:cNvSpPr txBox="1"/>
      </xdr:nvSpPr>
      <xdr:spPr>
        <a:xfrm>
          <a:off x="1973935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438729</xdr:colOff>
      <xdr:row>0</xdr:row>
      <xdr:rowOff>0</xdr:rowOff>
    </xdr:from>
    <xdr:ext cx="312137" cy="264560"/>
    <xdr:sp macro="" textlink="">
      <xdr:nvSpPr>
        <xdr:cNvPr id="5" name="TextBox 4"/>
        <xdr:cNvSpPr txBox="1"/>
      </xdr:nvSpPr>
      <xdr:spPr>
        <a:xfrm>
          <a:off x="1973935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448254</xdr:colOff>
      <xdr:row>0</xdr:row>
      <xdr:rowOff>0</xdr:rowOff>
    </xdr:from>
    <xdr:ext cx="312137" cy="264560"/>
    <xdr:sp macro="" textlink="">
      <xdr:nvSpPr>
        <xdr:cNvPr id="6" name="TextBox 5"/>
        <xdr:cNvSpPr txBox="1"/>
      </xdr:nvSpPr>
      <xdr:spPr>
        <a:xfrm>
          <a:off x="1983460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446349</xdr:colOff>
      <xdr:row>53</xdr:row>
      <xdr:rowOff>0</xdr:rowOff>
    </xdr:from>
    <xdr:ext cx="312137" cy="264560"/>
    <xdr:sp macro="" textlink="">
      <xdr:nvSpPr>
        <xdr:cNvPr id="2" name="TextBox 1"/>
        <xdr:cNvSpPr txBox="1"/>
      </xdr:nvSpPr>
      <xdr:spPr>
        <a:xfrm>
          <a:off x="1723327" y="11220659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446349</xdr:colOff>
      <xdr:row>53</xdr:row>
      <xdr:rowOff>0</xdr:rowOff>
    </xdr:from>
    <xdr:ext cx="312137" cy="264560"/>
    <xdr:sp macro="" textlink="">
      <xdr:nvSpPr>
        <xdr:cNvPr id="3" name="TextBox 2"/>
        <xdr:cNvSpPr txBox="1"/>
      </xdr:nvSpPr>
      <xdr:spPr>
        <a:xfrm>
          <a:off x="1723327" y="11220659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446349</xdr:colOff>
      <xdr:row>0</xdr:row>
      <xdr:rowOff>0</xdr:rowOff>
    </xdr:from>
    <xdr:ext cx="312137" cy="264560"/>
    <xdr:sp macro="" textlink="">
      <xdr:nvSpPr>
        <xdr:cNvPr id="4" name="TextBox 3"/>
        <xdr:cNvSpPr txBox="1"/>
      </xdr:nvSpPr>
      <xdr:spPr>
        <a:xfrm>
          <a:off x="1723327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453969</xdr:colOff>
      <xdr:row>0</xdr:row>
      <xdr:rowOff>0</xdr:rowOff>
    </xdr:from>
    <xdr:ext cx="312137" cy="264560"/>
    <xdr:sp macro="" textlink="">
      <xdr:nvSpPr>
        <xdr:cNvPr id="5" name="TextBox 4"/>
        <xdr:cNvSpPr txBox="1"/>
      </xdr:nvSpPr>
      <xdr:spPr>
        <a:xfrm>
          <a:off x="1730947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446349</xdr:colOff>
      <xdr:row>0</xdr:row>
      <xdr:rowOff>0</xdr:rowOff>
    </xdr:from>
    <xdr:ext cx="312137" cy="264560"/>
    <xdr:sp macro="" textlink="">
      <xdr:nvSpPr>
        <xdr:cNvPr id="2" name="TextBox 1"/>
        <xdr:cNvSpPr txBox="1"/>
      </xdr:nvSpPr>
      <xdr:spPr>
        <a:xfrm>
          <a:off x="199892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  <xdr:oneCellAnchor>
    <xdr:from>
      <xdr:col>2</xdr:col>
      <xdr:colOff>453969</xdr:colOff>
      <xdr:row>0</xdr:row>
      <xdr:rowOff>0</xdr:rowOff>
    </xdr:from>
    <xdr:ext cx="312137" cy="264560"/>
    <xdr:sp macro="" textlink="">
      <xdr:nvSpPr>
        <xdr:cNvPr id="3" name="TextBox 2"/>
        <xdr:cNvSpPr txBox="1"/>
      </xdr:nvSpPr>
      <xdr:spPr>
        <a:xfrm>
          <a:off x="2006544" y="0"/>
          <a:ext cx="312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    </a:t>
          </a:r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Guest/Desktop/BOQ/DS_Lo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hek%20List%20Dessei%20Projec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ery"/>
      <sheetName val="BOQ"/>
    </sheetNames>
    <sheetDataSet>
      <sheetData sheetId="0" refreshError="1"/>
      <sheetData sheetId="1" refreshError="1">
        <row r="431">
          <cell r="D431">
            <v>2.46875</v>
          </cell>
          <cell r="E431">
            <v>1434.18</v>
          </cell>
        </row>
        <row r="432">
          <cell r="D432">
            <v>8.3637499999999996</v>
          </cell>
        </row>
        <row r="436">
          <cell r="E436">
            <v>58.19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sie"/>
      <sheetName val="Resource Required"/>
      <sheetName val="Budget"/>
      <sheetName val="Approval Red"/>
    </sheetNames>
    <sheetDataSet>
      <sheetData sheetId="0">
        <row r="30">
          <cell r="D30">
            <v>25780.099200000004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4" Type="http://schemas.openxmlformats.org/officeDocument/2006/relationships/oleObject" Target="../embeddings/oleObject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M4" sqref="M4"/>
    </sheetView>
  </sheetViews>
  <sheetFormatPr defaultRowHeight="15"/>
  <sheetData>
    <row r="1" spans="1:10">
      <c r="A1" s="1290" t="s">
        <v>742</v>
      </c>
      <c r="B1" s="1290"/>
      <c r="C1" s="1290"/>
      <c r="D1" s="1290"/>
      <c r="E1" s="1290"/>
      <c r="F1" s="1290"/>
      <c r="G1" s="1290"/>
      <c r="H1" s="1290"/>
      <c r="I1" s="1290"/>
      <c r="J1" s="1290"/>
    </row>
    <row r="2" spans="1:10">
      <c r="A2" s="1290"/>
      <c r="B2" s="1290"/>
      <c r="C2" s="1290"/>
      <c r="D2" s="1290"/>
      <c r="E2" s="1290"/>
      <c r="F2" s="1290"/>
      <c r="G2" s="1290"/>
      <c r="H2" s="1290"/>
      <c r="I2" s="1290"/>
      <c r="J2" s="1290"/>
    </row>
    <row r="3" spans="1:10">
      <c r="A3" s="1290"/>
      <c r="B3" s="1290"/>
      <c r="C3" s="1290"/>
      <c r="D3" s="1290"/>
      <c r="E3" s="1290"/>
      <c r="F3" s="1290"/>
      <c r="G3" s="1290"/>
      <c r="H3" s="1290"/>
      <c r="I3" s="1290"/>
      <c r="J3" s="1290"/>
    </row>
    <row r="4" spans="1:10">
      <c r="A4" s="1290"/>
      <c r="B4" s="1290"/>
      <c r="C4" s="1290"/>
      <c r="D4" s="1290"/>
      <c r="E4" s="1290"/>
      <c r="F4" s="1290"/>
      <c r="G4" s="1290"/>
      <c r="H4" s="1290"/>
      <c r="I4" s="1290"/>
      <c r="J4" s="1290"/>
    </row>
    <row r="5" spans="1:10">
      <c r="A5" s="1290"/>
      <c r="B5" s="1290"/>
      <c r="C5" s="1290"/>
      <c r="D5" s="1290"/>
      <c r="E5" s="1290"/>
      <c r="F5" s="1290"/>
      <c r="G5" s="1290"/>
      <c r="H5" s="1290"/>
      <c r="I5" s="1290"/>
      <c r="J5" s="1290"/>
    </row>
    <row r="6" spans="1:10">
      <c r="A6" s="1290"/>
      <c r="B6" s="1290"/>
      <c r="C6" s="1290"/>
      <c r="D6" s="1290"/>
      <c r="E6" s="1290"/>
      <c r="F6" s="1290"/>
      <c r="G6" s="1290"/>
      <c r="H6" s="1290"/>
      <c r="I6" s="1290"/>
      <c r="J6" s="1290"/>
    </row>
    <row r="7" spans="1:10">
      <c r="A7" s="1290"/>
      <c r="B7" s="1290"/>
      <c r="C7" s="1290"/>
      <c r="D7" s="1290"/>
      <c r="E7" s="1290"/>
      <c r="F7" s="1290"/>
      <c r="G7" s="1290"/>
      <c r="H7" s="1290"/>
      <c r="I7" s="1290"/>
      <c r="J7" s="1290"/>
    </row>
    <row r="8" spans="1:10">
      <c r="A8" s="1290"/>
      <c r="B8" s="1290"/>
      <c r="C8" s="1290"/>
      <c r="D8" s="1290"/>
      <c r="E8" s="1290"/>
      <c r="F8" s="1290"/>
      <c r="G8" s="1290"/>
      <c r="H8" s="1290"/>
      <c r="I8" s="1290"/>
      <c r="J8" s="1290"/>
    </row>
  </sheetData>
  <mergeCells count="1">
    <mergeCell ref="A1:J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26"/>
  <sheetViews>
    <sheetView view="pageBreakPreview" topLeftCell="A74" zoomScaleSheetLayoutView="100" workbookViewId="0">
      <selection activeCell="D95" sqref="D95"/>
    </sheetView>
  </sheetViews>
  <sheetFormatPr defaultRowHeight="15"/>
  <cols>
    <col min="1" max="1" width="25.7109375" style="168" customWidth="1"/>
    <col min="2" max="4" width="9.140625" style="168"/>
    <col min="5" max="5" width="11.5703125" style="168" customWidth="1"/>
    <col min="6" max="6" width="9" style="168" customWidth="1"/>
    <col min="7" max="7" width="9.140625" style="168" hidden="1" customWidth="1"/>
    <col min="8" max="8" width="10" style="168" customWidth="1"/>
    <col min="9" max="9" width="9.140625" style="168" hidden="1" customWidth="1"/>
    <col min="10" max="10" width="10.42578125" style="168" bestFit="1" customWidth="1"/>
    <col min="11" max="11" width="13.42578125" style="168" customWidth="1"/>
    <col min="12" max="15" width="9.140625" style="168"/>
    <col min="16" max="16" width="13.5703125" style="168" bestFit="1" customWidth="1"/>
    <col min="17" max="16384" width="9.140625" style="168"/>
  </cols>
  <sheetData>
    <row r="1" spans="1:11" s="203" customFormat="1" ht="15" customHeight="1">
      <c r="A1" s="1605" t="s">
        <v>0</v>
      </c>
      <c r="B1" s="1606"/>
      <c r="C1" s="1607" t="s">
        <v>4</v>
      </c>
      <c r="D1" s="1608"/>
      <c r="E1" s="1609"/>
      <c r="F1" s="897" t="s">
        <v>7</v>
      </c>
      <c r="G1" s="898"/>
      <c r="H1" s="899" t="s">
        <v>8</v>
      </c>
      <c r="I1" s="898"/>
      <c r="J1" s="899" t="s">
        <v>61</v>
      </c>
      <c r="K1" s="900"/>
    </row>
    <row r="2" spans="1:11" ht="15" customHeight="1">
      <c r="A2" s="901" t="s">
        <v>552</v>
      </c>
      <c r="B2" s="169"/>
      <c r="C2" s="1583"/>
      <c r="D2" s="1584"/>
      <c r="E2" s="1585"/>
      <c r="F2" s="1595">
        <v>18</v>
      </c>
      <c r="G2" s="1596"/>
      <c r="H2" s="1586"/>
      <c r="I2" s="1587"/>
      <c r="J2" s="479"/>
      <c r="K2" s="902">
        <v>1</v>
      </c>
    </row>
    <row r="3" spans="1:11">
      <c r="A3" s="903" t="s">
        <v>2</v>
      </c>
      <c r="B3" s="171"/>
      <c r="C3" s="167" t="s">
        <v>5</v>
      </c>
      <c r="D3" s="172"/>
      <c r="E3" s="166"/>
      <c r="F3" s="165" t="s">
        <v>9</v>
      </c>
      <c r="G3" s="172"/>
      <c r="H3" s="172"/>
      <c r="I3" s="172"/>
      <c r="J3" s="172"/>
      <c r="K3" s="904"/>
    </row>
    <row r="4" spans="1:11">
      <c r="A4" s="905" t="s">
        <v>490</v>
      </c>
      <c r="B4" s="173"/>
      <c r="C4" s="174"/>
      <c r="D4" s="456">
        <v>1</v>
      </c>
      <c r="E4" s="175"/>
      <c r="F4" s="176" t="s">
        <v>555</v>
      </c>
      <c r="G4" s="177"/>
      <c r="H4" s="177"/>
      <c r="I4" s="177"/>
      <c r="J4" s="177"/>
      <c r="K4" s="906"/>
    </row>
    <row r="5" spans="1:11">
      <c r="A5" s="903" t="s">
        <v>491</v>
      </c>
      <c r="B5" s="282"/>
      <c r="C5" s="165" t="s">
        <v>6</v>
      </c>
      <c r="D5" s="1588" t="s">
        <v>1186</v>
      </c>
      <c r="E5" s="1589"/>
      <c r="F5" s="165" t="s">
        <v>10</v>
      </c>
      <c r="G5" s="172"/>
      <c r="H5" s="172"/>
      <c r="I5" s="172"/>
      <c r="J5" s="172"/>
      <c r="K5" s="904"/>
    </row>
    <row r="6" spans="1:11">
      <c r="A6" s="905"/>
      <c r="B6" s="173"/>
      <c r="C6" s="174"/>
      <c r="D6" s="177"/>
      <c r="E6" s="175"/>
      <c r="F6" s="178"/>
      <c r="G6" s="177"/>
      <c r="H6" s="177"/>
      <c r="I6" s="177"/>
      <c r="J6" s="177"/>
      <c r="K6" s="906"/>
    </row>
    <row r="7" spans="1:11">
      <c r="A7" s="907"/>
      <c r="B7" s="180"/>
      <c r="C7" s="180"/>
      <c r="D7" s="180"/>
      <c r="E7" s="180"/>
      <c r="F7" s="180"/>
      <c r="G7" s="180"/>
      <c r="H7" s="180"/>
      <c r="I7" s="180"/>
      <c r="J7" s="180"/>
      <c r="K7" s="908"/>
    </row>
    <row r="8" spans="1:11">
      <c r="A8" s="909" t="s">
        <v>11</v>
      </c>
      <c r="B8" s="183"/>
      <c r="C8" s="172"/>
      <c r="D8" s="172"/>
      <c r="E8" s="166"/>
      <c r="F8" s="184" t="s">
        <v>12</v>
      </c>
      <c r="G8" s="166"/>
      <c r="H8" s="184" t="s">
        <v>13</v>
      </c>
      <c r="I8" s="166"/>
      <c r="J8" s="1071" t="s">
        <v>14</v>
      </c>
      <c r="K8" s="904" t="s">
        <v>1189</v>
      </c>
    </row>
    <row r="9" spans="1:11">
      <c r="A9" s="911" t="s">
        <v>557</v>
      </c>
      <c r="B9" s="198"/>
      <c r="C9" s="198"/>
      <c r="D9" s="198"/>
      <c r="E9" s="181"/>
      <c r="F9" s="179"/>
      <c r="G9" s="181"/>
      <c r="H9" s="179"/>
      <c r="I9" s="181"/>
      <c r="J9" s="1072"/>
      <c r="K9" s="908"/>
    </row>
    <row r="10" spans="1:11" ht="23.25" customHeight="1">
      <c r="A10" s="1613" t="s">
        <v>1134</v>
      </c>
      <c r="B10" s="1614"/>
      <c r="C10" s="1614"/>
      <c r="D10" s="1614"/>
      <c r="E10" s="1615"/>
      <c r="F10" s="179"/>
      <c r="G10" s="181"/>
      <c r="H10" s="179"/>
      <c r="I10" s="181"/>
      <c r="J10" s="1072"/>
      <c r="K10" s="908"/>
    </row>
    <row r="11" spans="1:11">
      <c r="A11" s="924"/>
      <c r="B11" s="880"/>
      <c r="C11" s="1068"/>
      <c r="D11" s="880"/>
      <c r="E11" s="881"/>
      <c r="F11" s="179"/>
      <c r="G11" s="181"/>
      <c r="H11" s="179"/>
      <c r="I11" s="181"/>
      <c r="J11" s="1072"/>
      <c r="K11" s="908"/>
    </row>
    <row r="12" spans="1:11" ht="15.75">
      <c r="A12" s="1081" t="s">
        <v>615</v>
      </c>
      <c r="B12" s="1065"/>
      <c r="C12" s="1065"/>
      <c r="D12" s="1065"/>
      <c r="E12" s="1069"/>
      <c r="F12" s="179">
        <v>1</v>
      </c>
      <c r="G12" s="181"/>
      <c r="H12" s="179">
        <v>49.6</v>
      </c>
      <c r="I12" s="181"/>
      <c r="J12" s="1072"/>
      <c r="K12" s="908"/>
    </row>
    <row r="13" spans="1:11">
      <c r="A13" s="924"/>
      <c r="B13" s="1068"/>
      <c r="C13" s="1068"/>
      <c r="D13" s="1068"/>
      <c r="E13" s="881"/>
      <c r="F13" s="179"/>
      <c r="G13" s="181"/>
      <c r="H13" s="179">
        <v>0.5</v>
      </c>
      <c r="I13" s="181"/>
      <c r="J13" s="1072"/>
      <c r="K13" s="908"/>
    </row>
    <row r="14" spans="1:11" ht="15.75" thickBot="1">
      <c r="A14" s="924"/>
      <c r="B14" s="880"/>
      <c r="C14" s="880"/>
      <c r="D14" s="880"/>
      <c r="E14" s="881"/>
      <c r="F14" s="179"/>
      <c r="G14" s="181"/>
      <c r="H14" s="174">
        <v>4</v>
      </c>
      <c r="I14" s="181"/>
      <c r="J14" s="1079">
        <f>F12*H12*H13*H14</f>
        <v>99.2</v>
      </c>
      <c r="K14" s="908" t="s">
        <v>141</v>
      </c>
    </row>
    <row r="15" spans="1:11" ht="15.75" thickTop="1">
      <c r="A15" s="924"/>
      <c r="B15" s="880"/>
      <c r="C15" s="880"/>
      <c r="D15" s="880"/>
      <c r="E15" s="881"/>
      <c r="F15" s="179"/>
      <c r="G15" s="181"/>
      <c r="H15" s="179"/>
      <c r="I15" s="181"/>
      <c r="J15" s="1082"/>
      <c r="K15" s="908"/>
    </row>
    <row r="16" spans="1:11">
      <c r="A16" s="924"/>
      <c r="B16" s="198"/>
      <c r="C16" s="198"/>
      <c r="D16" s="198"/>
      <c r="E16" s="181"/>
      <c r="F16" s="179"/>
      <c r="G16" s="181"/>
      <c r="H16" s="179"/>
      <c r="I16" s="181"/>
      <c r="J16" s="1072"/>
      <c r="K16" s="908"/>
    </row>
    <row r="17" spans="1:14" ht="30.75" customHeight="1">
      <c r="A17" s="1618" t="s">
        <v>1136</v>
      </c>
      <c r="B17" s="1619"/>
      <c r="C17" s="1619"/>
      <c r="D17" s="1619"/>
      <c r="E17" s="1620"/>
      <c r="F17" s="179"/>
      <c r="G17" s="181"/>
      <c r="H17" s="179"/>
      <c r="I17" s="181"/>
      <c r="J17" s="1083"/>
      <c r="K17" s="1055"/>
      <c r="L17" s="947"/>
    </row>
    <row r="18" spans="1:14">
      <c r="A18" s="925"/>
      <c r="B18" s="198"/>
      <c r="C18" s="575"/>
      <c r="D18" s="575"/>
      <c r="E18" s="576"/>
      <c r="F18" s="179"/>
      <c r="G18" s="181"/>
      <c r="H18" s="179"/>
      <c r="I18" s="180"/>
      <c r="J18" s="1072"/>
      <c r="K18" s="1055"/>
    </row>
    <row r="19" spans="1:14" ht="15.75">
      <c r="A19" s="1081" t="s">
        <v>615</v>
      </c>
      <c r="B19" s="198"/>
      <c r="C19" s="575"/>
      <c r="D19" s="575"/>
      <c r="E19" s="576"/>
      <c r="F19" s="179">
        <v>2</v>
      </c>
      <c r="G19" s="181"/>
      <c r="H19" s="179">
        <v>49.6</v>
      </c>
      <c r="I19" s="180"/>
      <c r="J19" s="1072"/>
      <c r="K19" s="908"/>
    </row>
    <row r="20" spans="1:14" ht="15.75" thickBot="1">
      <c r="A20" s="925"/>
      <c r="B20" s="198"/>
      <c r="C20" s="575"/>
      <c r="D20" s="575"/>
      <c r="E20" s="576"/>
      <c r="F20" s="179"/>
      <c r="G20" s="181"/>
      <c r="H20" s="174">
        <v>4</v>
      </c>
      <c r="I20" s="180"/>
      <c r="J20" s="1079">
        <f>H20*H19*F19</f>
        <v>396.8</v>
      </c>
      <c r="K20" s="908" t="s">
        <v>842</v>
      </c>
    </row>
    <row r="21" spans="1:14" ht="15.75" thickTop="1">
      <c r="A21" s="925"/>
      <c r="B21" s="198"/>
      <c r="C21" s="575"/>
      <c r="D21" s="575"/>
      <c r="E21" s="576"/>
      <c r="F21" s="179"/>
      <c r="G21" s="181"/>
      <c r="H21" s="179"/>
      <c r="I21" s="180"/>
      <c r="J21" s="1072"/>
      <c r="K21" s="908"/>
    </row>
    <row r="22" spans="1:14" ht="17.25" customHeight="1">
      <c r="A22" s="925" t="s">
        <v>1200</v>
      </c>
      <c r="B22" s="198"/>
      <c r="C22" s="575"/>
      <c r="D22" s="575"/>
      <c r="E22" s="576"/>
      <c r="F22" s="179">
        <v>8</v>
      </c>
      <c r="G22" s="181"/>
      <c r="H22" s="179">
        <v>6.65</v>
      </c>
      <c r="I22" s="180"/>
      <c r="J22" s="1072"/>
      <c r="K22" s="908"/>
    </row>
    <row r="23" spans="1:14" ht="15.75" thickBot="1">
      <c r="A23" s="925"/>
      <c r="B23" s="198"/>
      <c r="C23" s="575"/>
      <c r="D23" s="575"/>
      <c r="E23" s="576"/>
      <c r="F23" s="179"/>
      <c r="G23" s="181"/>
      <c r="H23" s="174">
        <v>4.25</v>
      </c>
      <c r="I23" s="180"/>
      <c r="J23" s="1079">
        <f>H23*H22*F22</f>
        <v>226.10000000000002</v>
      </c>
      <c r="K23" s="908" t="s">
        <v>842</v>
      </c>
    </row>
    <row r="24" spans="1:14" ht="15.75" thickTop="1">
      <c r="A24" s="927"/>
      <c r="B24" s="1037"/>
      <c r="C24" s="1037"/>
      <c r="D24" s="1037"/>
      <c r="E24" s="1038"/>
      <c r="F24" s="179"/>
      <c r="G24" s="181"/>
      <c r="H24" s="179"/>
      <c r="I24" s="181"/>
      <c r="J24" s="1072"/>
      <c r="K24" s="908"/>
    </row>
    <row r="25" spans="1:14" ht="33" customHeight="1">
      <c r="A25" s="1621" t="s">
        <v>1138</v>
      </c>
      <c r="B25" s="1450"/>
      <c r="C25" s="1450"/>
      <c r="D25" s="1450"/>
      <c r="E25" s="1451"/>
      <c r="F25" s="179"/>
      <c r="G25" s="181"/>
      <c r="H25" s="179"/>
      <c r="I25" s="181"/>
      <c r="J25" s="1072"/>
      <c r="K25" s="908"/>
    </row>
    <row r="26" spans="1:14">
      <c r="A26" s="927"/>
      <c r="B26" s="196"/>
      <c r="C26" s="196"/>
      <c r="D26" s="196"/>
      <c r="E26" s="181"/>
      <c r="F26" s="179"/>
      <c r="G26" s="181"/>
      <c r="H26" s="179"/>
      <c r="I26" s="181"/>
      <c r="J26" s="1072"/>
      <c r="K26" s="908"/>
    </row>
    <row r="27" spans="1:14" ht="15.75" thickBot="1">
      <c r="A27" s="927" t="s">
        <v>1203</v>
      </c>
      <c r="B27" s="196"/>
      <c r="C27" s="196"/>
      <c r="D27" s="196"/>
      <c r="E27" s="181"/>
      <c r="F27" s="179"/>
      <c r="G27" s="181"/>
      <c r="H27" s="179"/>
      <c r="I27" s="181"/>
      <c r="J27" s="1079">
        <f>'bar schedule (2)'!K26</f>
        <v>3066.2308600000001</v>
      </c>
      <c r="K27" s="908" t="s">
        <v>103</v>
      </c>
    </row>
    <row r="28" spans="1:14" ht="16.5" thickTop="1">
      <c r="A28" s="1081" t="s">
        <v>630</v>
      </c>
      <c r="B28" s="1065"/>
      <c r="C28" s="1065"/>
      <c r="D28" s="1065"/>
      <c r="E28" s="181"/>
      <c r="F28" s="179"/>
      <c r="G28" s="181"/>
      <c r="H28" s="179"/>
      <c r="I28" s="181"/>
      <c r="J28" s="1072"/>
      <c r="K28" s="908"/>
    </row>
    <row r="29" spans="1:14" ht="15.75" thickBot="1">
      <c r="A29" s="927"/>
      <c r="B29" s="196"/>
      <c r="C29" s="196"/>
      <c r="D29" s="196"/>
      <c r="E29" s="181"/>
      <c r="F29" s="179"/>
      <c r="G29" s="181"/>
      <c r="H29" s="179"/>
      <c r="I29" s="181"/>
      <c r="J29" s="1079">
        <f>'bar schedule (2)'!O26</f>
        <v>9954.6410400000004</v>
      </c>
      <c r="K29" s="908" t="s">
        <v>103</v>
      </c>
      <c r="N29" s="542"/>
    </row>
    <row r="30" spans="1:14" ht="15.75" thickTop="1">
      <c r="A30" s="927"/>
      <c r="B30" s="196"/>
      <c r="C30" s="196"/>
      <c r="D30" s="196"/>
      <c r="E30" s="181"/>
      <c r="F30" s="179"/>
      <c r="G30" s="181"/>
      <c r="H30" s="179"/>
      <c r="I30" s="181"/>
      <c r="J30" s="1072"/>
      <c r="K30" s="908"/>
      <c r="N30" s="542"/>
    </row>
    <row r="31" spans="1:14">
      <c r="A31" s="913"/>
      <c r="B31" s="196"/>
      <c r="C31" s="196"/>
      <c r="D31" s="196"/>
      <c r="E31" s="181"/>
      <c r="F31" s="179"/>
      <c r="G31" s="181"/>
      <c r="H31" s="179"/>
      <c r="I31" s="181"/>
      <c r="J31" s="1072"/>
      <c r="K31" s="908"/>
    </row>
    <row r="32" spans="1:14" ht="29.25" customHeight="1">
      <c r="A32" s="1618" t="s">
        <v>1135</v>
      </c>
      <c r="B32" s="1619"/>
      <c r="C32" s="1619"/>
      <c r="D32" s="1619"/>
      <c r="E32" s="1620"/>
      <c r="F32" s="179"/>
      <c r="G32" s="181"/>
      <c r="H32" s="179"/>
      <c r="I32" s="181"/>
      <c r="J32" s="1072"/>
      <c r="K32" s="908"/>
    </row>
    <row r="33" spans="1:16">
      <c r="A33" s="913"/>
      <c r="B33" s="196"/>
      <c r="C33" s="196"/>
      <c r="D33" s="196"/>
      <c r="E33" s="180"/>
      <c r="F33" s="179"/>
      <c r="G33" s="181"/>
      <c r="H33" s="179"/>
      <c r="I33" s="181"/>
      <c r="J33" s="1072"/>
      <c r="K33" s="908"/>
    </row>
    <row r="34" spans="1:16">
      <c r="A34" s="913"/>
      <c r="B34" s="1616" t="s">
        <v>1139</v>
      </c>
      <c r="C34" s="1616"/>
      <c r="D34" s="1616"/>
      <c r="E34" s="1617"/>
      <c r="F34" s="179">
        <v>2</v>
      </c>
      <c r="G34" s="181"/>
      <c r="H34" s="179">
        <v>53.6</v>
      </c>
      <c r="I34" s="181"/>
      <c r="J34" s="1080">
        <f>F34*H34</f>
        <v>107.2</v>
      </c>
      <c r="K34" s="908"/>
    </row>
    <row r="35" spans="1:16">
      <c r="A35" s="913"/>
      <c r="B35" s="1616" t="s">
        <v>1140</v>
      </c>
      <c r="C35" s="1616"/>
      <c r="D35" s="1616"/>
      <c r="E35" s="180"/>
      <c r="F35" s="179">
        <v>8</v>
      </c>
      <c r="G35" s="181"/>
      <c r="H35" s="179">
        <v>2.2999999999999998</v>
      </c>
      <c r="I35" s="181"/>
      <c r="J35" s="188">
        <f>F35*H35</f>
        <v>18.399999999999999</v>
      </c>
      <c r="K35" s="908"/>
    </row>
    <row r="36" spans="1:16" ht="15.75" thickBot="1">
      <c r="A36" s="913"/>
      <c r="B36" s="1435" t="s">
        <v>1137</v>
      </c>
      <c r="C36" s="1435"/>
      <c r="D36" s="1435"/>
      <c r="E36" s="1436"/>
      <c r="F36" s="179"/>
      <c r="G36" s="181"/>
      <c r="H36" s="179"/>
      <c r="I36" s="181"/>
      <c r="J36" s="1079">
        <f>J34+J35</f>
        <v>125.6</v>
      </c>
      <c r="K36" s="908"/>
    </row>
    <row r="37" spans="1:16" ht="15.75" thickTop="1">
      <c r="A37" s="913"/>
      <c r="B37" s="1037"/>
      <c r="C37" s="1037"/>
      <c r="D37" s="1037"/>
      <c r="E37" s="1038"/>
      <c r="F37" s="179"/>
      <c r="G37" s="181"/>
      <c r="H37" s="179"/>
      <c r="I37" s="181"/>
      <c r="J37" s="1072"/>
      <c r="K37" s="908"/>
    </row>
    <row r="38" spans="1:16">
      <c r="A38" s="913"/>
      <c r="B38" s="1037"/>
      <c r="C38" s="1037"/>
      <c r="D38" s="1037"/>
      <c r="E38" s="1038"/>
      <c r="F38" s="179"/>
      <c r="G38" s="181"/>
      <c r="H38" s="179"/>
      <c r="I38" s="180"/>
      <c r="J38" s="1072"/>
      <c r="K38" s="908"/>
      <c r="M38" s="542"/>
    </row>
    <row r="39" spans="1:16">
      <c r="A39" s="913"/>
      <c r="B39" s="1037"/>
      <c r="C39" s="1037"/>
      <c r="D39" s="1037"/>
      <c r="E39" s="1038"/>
      <c r="F39" s="179"/>
      <c r="G39" s="181"/>
      <c r="H39" s="179"/>
      <c r="I39" s="180"/>
      <c r="J39" s="1072"/>
      <c r="K39" s="908"/>
      <c r="M39" s="542"/>
    </row>
    <row r="40" spans="1:16">
      <c r="A40" s="913"/>
      <c r="B40" s="1037"/>
      <c r="C40" s="1037"/>
      <c r="D40" s="1037"/>
      <c r="E40" s="1038"/>
      <c r="F40" s="179"/>
      <c r="G40" s="181"/>
      <c r="H40" s="179"/>
      <c r="I40" s="180"/>
      <c r="J40" s="1072"/>
      <c r="K40" s="908"/>
    </row>
    <row r="41" spans="1:16" ht="15.75" thickBot="1">
      <c r="A41" s="928"/>
      <c r="B41" s="829"/>
      <c r="C41" s="829"/>
      <c r="D41" s="829"/>
      <c r="E41" s="830"/>
      <c r="F41" s="199"/>
      <c r="G41" s="195"/>
      <c r="H41" s="199"/>
      <c r="I41" s="204"/>
      <c r="J41" s="1073"/>
      <c r="K41" s="929"/>
    </row>
    <row r="42" spans="1:16" ht="15.75" thickTop="1">
      <c r="A42" s="907"/>
      <c r="B42" s="180"/>
      <c r="C42" s="180"/>
      <c r="D42" s="180"/>
      <c r="E42" s="180"/>
      <c r="F42" s="180"/>
      <c r="G42" s="180"/>
      <c r="H42" s="180"/>
      <c r="I42" s="180"/>
      <c r="J42" s="180"/>
      <c r="K42" s="908"/>
    </row>
    <row r="43" spans="1:16">
      <c r="A43" s="930"/>
      <c r="B43" s="189" t="s">
        <v>10</v>
      </c>
      <c r="C43" s="189" t="s">
        <v>18</v>
      </c>
      <c r="D43" s="190" t="s">
        <v>19</v>
      </c>
      <c r="E43" s="191"/>
      <c r="F43" s="191"/>
      <c r="G43" s="191"/>
      <c r="H43" s="191"/>
      <c r="I43" s="191"/>
      <c r="J43" s="191"/>
      <c r="K43" s="917"/>
    </row>
    <row r="44" spans="1:16" ht="25.5" customHeight="1">
      <c r="A44" s="916" t="s">
        <v>15</v>
      </c>
      <c r="B44" s="188"/>
      <c r="C44" s="188"/>
      <c r="D44" s="194"/>
      <c r="E44" s="191"/>
      <c r="F44" s="191"/>
      <c r="G44" s="191"/>
      <c r="H44" s="191"/>
      <c r="I44" s="191"/>
      <c r="J44" s="191"/>
      <c r="K44" s="917"/>
    </row>
    <row r="45" spans="1:16" ht="25.5" customHeight="1">
      <c r="A45" s="916" t="s">
        <v>16</v>
      </c>
      <c r="B45" s="188"/>
      <c r="C45" s="188"/>
      <c r="D45" s="194"/>
      <c r="E45" s="191"/>
      <c r="F45" s="191"/>
      <c r="G45" s="191"/>
      <c r="H45" s="191"/>
      <c r="I45" s="191"/>
      <c r="J45" s="191"/>
      <c r="K45" s="917"/>
    </row>
    <row r="46" spans="1:16" ht="25.5" customHeight="1" thickBot="1">
      <c r="A46" s="918" t="s">
        <v>553</v>
      </c>
      <c r="B46" s="919"/>
      <c r="C46" s="919"/>
      <c r="D46" s="920"/>
      <c r="E46" s="921"/>
      <c r="F46" s="921"/>
      <c r="G46" s="921"/>
      <c r="H46" s="921"/>
      <c r="I46" s="921"/>
      <c r="J46" s="921"/>
      <c r="K46" s="922"/>
      <c r="P46" s="168">
        <v>914817051</v>
      </c>
    </row>
    <row r="47" spans="1:16" ht="15.75" thickBot="1"/>
    <row r="48" spans="1:16">
      <c r="A48" s="1605" t="s">
        <v>0</v>
      </c>
      <c r="B48" s="1606"/>
      <c r="C48" s="1607" t="s">
        <v>4</v>
      </c>
      <c r="D48" s="1608"/>
      <c r="E48" s="1609"/>
      <c r="F48" s="897" t="s">
        <v>7</v>
      </c>
      <c r="G48" s="898"/>
      <c r="H48" s="899" t="s">
        <v>8</v>
      </c>
      <c r="I48" s="898"/>
      <c r="J48" s="899" t="s">
        <v>61</v>
      </c>
      <c r="K48" s="900"/>
    </row>
    <row r="49" spans="1:11" ht="15.75">
      <c r="A49" s="901" t="s">
        <v>552</v>
      </c>
      <c r="B49" s="169"/>
      <c r="C49" s="1583"/>
      <c r="D49" s="1584"/>
      <c r="E49" s="1585"/>
      <c r="F49" s="1595">
        <v>19</v>
      </c>
      <c r="G49" s="1596"/>
      <c r="H49" s="1586"/>
      <c r="I49" s="1587"/>
      <c r="J49" s="479"/>
      <c r="K49" s="902">
        <v>1</v>
      </c>
    </row>
    <row r="50" spans="1:11">
      <c r="A50" s="903" t="s">
        <v>2</v>
      </c>
      <c r="B50" s="171"/>
      <c r="C50" s="167" t="s">
        <v>5</v>
      </c>
      <c r="D50" s="172"/>
      <c r="E50" s="166"/>
      <c r="F50" s="165" t="s">
        <v>9</v>
      </c>
      <c r="G50" s="172"/>
      <c r="H50" s="172"/>
      <c r="I50" s="172"/>
      <c r="J50" s="172"/>
      <c r="K50" s="904"/>
    </row>
    <row r="51" spans="1:11">
      <c r="A51" s="905" t="s">
        <v>490</v>
      </c>
      <c r="B51" s="173"/>
      <c r="C51" s="174"/>
      <c r="D51" s="456">
        <v>1</v>
      </c>
      <c r="E51" s="175"/>
      <c r="F51" s="176" t="s">
        <v>555</v>
      </c>
      <c r="G51" s="177"/>
      <c r="H51" s="177"/>
      <c r="I51" s="177"/>
      <c r="J51" s="177"/>
      <c r="K51" s="906"/>
    </row>
    <row r="52" spans="1:11">
      <c r="A52" s="903" t="s">
        <v>491</v>
      </c>
      <c r="B52" s="282"/>
      <c r="C52" s="165" t="s">
        <v>6</v>
      </c>
      <c r="D52" s="1588" t="s">
        <v>1186</v>
      </c>
      <c r="E52" s="1589"/>
      <c r="F52" s="165" t="s">
        <v>10</v>
      </c>
      <c r="G52" s="172"/>
      <c r="H52" s="172"/>
      <c r="I52" s="172"/>
      <c r="J52" s="172"/>
      <c r="K52" s="904"/>
    </row>
    <row r="53" spans="1:11">
      <c r="A53" s="905"/>
      <c r="B53" s="173"/>
      <c r="C53" s="174"/>
      <c r="D53" s="177"/>
      <c r="E53" s="175"/>
      <c r="F53" s="178"/>
      <c r="G53" s="177"/>
      <c r="H53" s="177"/>
      <c r="I53" s="177"/>
      <c r="J53" s="177"/>
      <c r="K53" s="906"/>
    </row>
    <row r="54" spans="1:11">
      <c r="A54" s="907"/>
      <c r="B54" s="180"/>
      <c r="C54" s="180"/>
      <c r="D54" s="180"/>
      <c r="E54" s="180"/>
      <c r="F54" s="180"/>
      <c r="G54" s="180"/>
      <c r="H54" s="180"/>
      <c r="I54" s="180"/>
      <c r="J54" s="180"/>
      <c r="K54" s="908"/>
    </row>
    <row r="55" spans="1:11">
      <c r="A55" s="909" t="s">
        <v>11</v>
      </c>
      <c r="B55" s="183"/>
      <c r="C55" s="172"/>
      <c r="D55" s="172"/>
      <c r="E55" s="166"/>
      <c r="F55" s="184" t="s">
        <v>12</v>
      </c>
      <c r="G55" s="166"/>
      <c r="H55" s="184" t="s">
        <v>13</v>
      </c>
      <c r="I55" s="166"/>
      <c r="J55" s="1071" t="s">
        <v>14</v>
      </c>
      <c r="K55" s="904" t="s">
        <v>1189</v>
      </c>
    </row>
    <row r="56" spans="1:11">
      <c r="A56" s="911" t="s">
        <v>557</v>
      </c>
      <c r="B56" s="198"/>
      <c r="C56" s="198"/>
      <c r="D56" s="198"/>
      <c r="E56" s="181"/>
      <c r="F56" s="179"/>
      <c r="G56" s="181"/>
      <c r="H56" s="179"/>
      <c r="I56" s="181"/>
      <c r="J56" s="1072"/>
      <c r="K56" s="908"/>
    </row>
    <row r="57" spans="1:11">
      <c r="A57" s="1613" t="s">
        <v>1134</v>
      </c>
      <c r="B57" s="1614"/>
      <c r="C57" s="1614"/>
      <c r="D57" s="1614"/>
      <c r="E57" s="1615"/>
      <c r="F57" s="179"/>
      <c r="G57" s="181"/>
      <c r="H57" s="179"/>
      <c r="I57" s="181"/>
      <c r="J57" s="1072"/>
      <c r="K57" s="908"/>
    </row>
    <row r="58" spans="1:11">
      <c r="A58" s="1124"/>
      <c r="B58" s="1119"/>
      <c r="C58" s="1119"/>
      <c r="D58" s="1119"/>
      <c r="E58" s="1120"/>
      <c r="F58" s="179"/>
      <c r="G58" s="181"/>
      <c r="H58" s="179"/>
      <c r="I58" s="181"/>
      <c r="J58" s="1072"/>
      <c r="K58" s="908"/>
    </row>
    <row r="59" spans="1:11" ht="15.75">
      <c r="A59" s="1081" t="s">
        <v>616</v>
      </c>
      <c r="B59" s="1065"/>
      <c r="C59" s="1065"/>
      <c r="D59" s="1065"/>
      <c r="E59" s="1120"/>
      <c r="F59" s="179">
        <v>1</v>
      </c>
      <c r="G59" s="181"/>
      <c r="H59" s="179">
        <v>1.5</v>
      </c>
      <c r="I59" s="181"/>
      <c r="J59" s="1072"/>
      <c r="K59" s="908"/>
    </row>
    <row r="60" spans="1:11">
      <c r="A60" s="1124"/>
      <c r="B60" s="1119"/>
      <c r="C60" s="1119"/>
      <c r="D60" s="1119"/>
      <c r="E60" s="1120"/>
      <c r="F60" s="179"/>
      <c r="G60" s="181"/>
      <c r="H60" s="179">
        <v>2.8</v>
      </c>
      <c r="I60" s="181"/>
      <c r="J60" s="1072"/>
      <c r="K60" s="908"/>
    </row>
    <row r="61" spans="1:11">
      <c r="A61" s="1124"/>
      <c r="B61" s="1119"/>
      <c r="C61" s="1119"/>
      <c r="D61" s="1119"/>
      <c r="E61" s="1120"/>
      <c r="F61" s="179"/>
      <c r="G61" s="181"/>
      <c r="H61" s="174">
        <v>0.25</v>
      </c>
      <c r="I61" s="181"/>
      <c r="J61" s="1080">
        <f>F59*H59*H60*H61</f>
        <v>1.0499999999999998</v>
      </c>
      <c r="K61" s="908" t="s">
        <v>141</v>
      </c>
    </row>
    <row r="62" spans="1:11">
      <c r="A62" s="1124"/>
      <c r="B62" s="1119"/>
      <c r="C62" s="1119"/>
      <c r="D62" s="1119"/>
      <c r="E62" s="1120"/>
      <c r="F62" s="179"/>
      <c r="G62" s="181"/>
      <c r="H62" s="179"/>
      <c r="I62" s="181"/>
      <c r="J62" s="1072"/>
      <c r="K62" s="908"/>
    </row>
    <row r="63" spans="1:11">
      <c r="A63" s="1124"/>
      <c r="B63" s="1119"/>
      <c r="C63" s="1119"/>
      <c r="D63" s="1119"/>
      <c r="E63" s="1120"/>
      <c r="F63" s="179">
        <v>1</v>
      </c>
      <c r="G63" s="181"/>
      <c r="H63" s="179">
        <v>1.1499999999999999</v>
      </c>
      <c r="I63" s="181"/>
      <c r="J63" s="1072"/>
      <c r="K63" s="908"/>
    </row>
    <row r="64" spans="1:11">
      <c r="A64" s="1124"/>
      <c r="B64" s="1119"/>
      <c r="C64" s="1119"/>
      <c r="D64" s="1119"/>
      <c r="E64" s="1120"/>
      <c r="F64" s="179"/>
      <c r="G64" s="181"/>
      <c r="H64" s="179">
        <v>2.8</v>
      </c>
      <c r="I64" s="181"/>
      <c r="J64" s="1072"/>
      <c r="K64" s="908"/>
    </row>
    <row r="65" spans="1:14">
      <c r="A65" s="1124"/>
      <c r="B65" s="1119"/>
      <c r="C65" s="1119"/>
      <c r="D65" s="1119"/>
      <c r="E65" s="1120"/>
      <c r="F65" s="179"/>
      <c r="G65" s="181"/>
      <c r="H65" s="174">
        <v>0.25</v>
      </c>
      <c r="I65" s="181"/>
      <c r="J65" s="1080">
        <f>H65*H64*H63</f>
        <v>0.80499999999999994</v>
      </c>
      <c r="K65" s="908" t="s">
        <v>141</v>
      </c>
    </row>
    <row r="66" spans="1:14">
      <c r="A66" s="1124"/>
      <c r="B66" s="1119"/>
      <c r="C66" s="1119"/>
      <c r="D66" s="1119"/>
      <c r="E66" s="1120"/>
      <c r="F66" s="179"/>
      <c r="G66" s="181"/>
      <c r="H66" s="179"/>
      <c r="I66" s="181"/>
      <c r="J66" s="1072"/>
      <c r="K66" s="908"/>
    </row>
    <row r="67" spans="1:14">
      <c r="A67" s="1124"/>
      <c r="B67" s="1119"/>
      <c r="C67" s="1119"/>
      <c r="D67" s="1119"/>
      <c r="E67" s="1120"/>
      <c r="F67" s="179">
        <v>2</v>
      </c>
      <c r="G67" s="181"/>
      <c r="H67" s="179">
        <v>16</v>
      </c>
      <c r="I67" s="181"/>
      <c r="J67" s="1072"/>
      <c r="K67" s="908"/>
    </row>
    <row r="68" spans="1:14">
      <c r="A68" s="1124"/>
      <c r="B68" s="1119"/>
      <c r="C68" s="1119"/>
      <c r="D68" s="1119"/>
      <c r="E68" s="1120"/>
      <c r="F68" s="179"/>
      <c r="G68" s="181"/>
      <c r="H68" s="179">
        <v>0.95</v>
      </c>
      <c r="I68" s="181"/>
      <c r="J68" s="1072"/>
      <c r="K68" s="908"/>
    </row>
    <row r="69" spans="1:14">
      <c r="A69" s="1124"/>
      <c r="B69" s="1119"/>
      <c r="C69" s="1119"/>
      <c r="D69" s="1119"/>
      <c r="E69" s="1120"/>
      <c r="F69" s="179"/>
      <c r="G69" s="181"/>
      <c r="H69" s="174">
        <v>0.25</v>
      </c>
      <c r="I69" s="181"/>
      <c r="J69" s="1080">
        <f>H69*H68*H67*F67</f>
        <v>7.6</v>
      </c>
      <c r="K69" s="908" t="s">
        <v>141</v>
      </c>
      <c r="N69" s="942"/>
    </row>
    <row r="70" spans="1:14">
      <c r="A70" s="1124"/>
      <c r="B70" s="1119"/>
      <c r="C70" s="1119"/>
      <c r="D70" s="1119"/>
      <c r="E70" s="1120"/>
      <c r="F70" s="179"/>
      <c r="G70" s="181"/>
      <c r="H70" s="179"/>
      <c r="I70" s="181"/>
      <c r="J70" s="1072"/>
      <c r="K70" s="908"/>
    </row>
    <row r="71" spans="1:14">
      <c r="A71" s="1124"/>
      <c r="B71" s="1119"/>
      <c r="C71" s="1119"/>
      <c r="D71" s="1119"/>
      <c r="E71" s="1120"/>
      <c r="F71" s="179">
        <v>2</v>
      </c>
      <c r="G71" s="181"/>
      <c r="H71" s="179">
        <v>0.75</v>
      </c>
      <c r="I71" s="181"/>
      <c r="J71" s="1072"/>
      <c r="K71" s="908"/>
    </row>
    <row r="72" spans="1:14">
      <c r="A72" s="1124"/>
      <c r="B72" s="1119"/>
      <c r="C72" s="1119"/>
      <c r="D72" s="1119"/>
      <c r="E72" s="1120"/>
      <c r="F72" s="179"/>
      <c r="G72" s="181"/>
      <c r="H72" s="179">
        <v>2.8</v>
      </c>
      <c r="I72" s="181"/>
      <c r="J72" s="1072"/>
      <c r="K72" s="908"/>
    </row>
    <row r="73" spans="1:14">
      <c r="A73" s="1124"/>
      <c r="B73" s="1119"/>
      <c r="C73" s="1119"/>
      <c r="D73" s="1119"/>
      <c r="E73" s="1120"/>
      <c r="F73" s="179"/>
      <c r="G73" s="181"/>
      <c r="H73" s="174">
        <v>0.25</v>
      </c>
      <c r="I73" s="181"/>
      <c r="J73" s="1080">
        <f>H73*H72*H71*F71</f>
        <v>1.0499999999999998</v>
      </c>
      <c r="K73" s="908" t="s">
        <v>141</v>
      </c>
    </row>
    <row r="74" spans="1:14" ht="15.75" thickBot="1">
      <c r="A74" s="1124"/>
      <c r="B74" s="1119"/>
      <c r="C74" s="1119"/>
      <c r="D74" s="1119"/>
      <c r="E74" s="1120"/>
      <c r="F74" s="179"/>
      <c r="G74" s="181"/>
      <c r="H74" s="179"/>
      <c r="I74" s="181"/>
      <c r="J74" s="1134">
        <f>J73+J69+J65+J61</f>
        <v>10.504999999999999</v>
      </c>
      <c r="K74" s="908" t="s">
        <v>1221</v>
      </c>
      <c r="L74" s="947"/>
    </row>
    <row r="75" spans="1:14" ht="15.75" thickTop="1">
      <c r="E75" s="514"/>
      <c r="H75" s="214"/>
      <c r="J75" s="1135"/>
    </row>
    <row r="76" spans="1:14" ht="15.75">
      <c r="A76" s="1081" t="s">
        <v>617</v>
      </c>
      <c r="B76" s="1065"/>
      <c r="C76" s="1065"/>
      <c r="D76" s="1065"/>
      <c r="E76" s="1120"/>
      <c r="F76" s="180">
        <v>1</v>
      </c>
      <c r="G76" s="181"/>
      <c r="H76" s="179">
        <v>1.25</v>
      </c>
      <c r="I76" s="181"/>
      <c r="J76" s="1072"/>
      <c r="K76" s="908"/>
    </row>
    <row r="77" spans="1:14">
      <c r="A77" s="1124"/>
      <c r="B77" s="1119"/>
      <c r="C77" s="1119"/>
      <c r="D77" s="1119"/>
      <c r="E77" s="1120"/>
      <c r="F77" s="179"/>
      <c r="G77" s="181"/>
      <c r="H77" s="179">
        <v>2.8</v>
      </c>
      <c r="I77" s="181"/>
      <c r="J77" s="1075"/>
      <c r="K77" s="908"/>
    </row>
    <row r="78" spans="1:14">
      <c r="A78" s="1124"/>
      <c r="B78" s="1119"/>
      <c r="C78" s="1119"/>
      <c r="D78" s="1119"/>
      <c r="E78" s="1120"/>
      <c r="F78" s="179"/>
      <c r="G78" s="181"/>
      <c r="H78" s="174">
        <v>0.25</v>
      </c>
      <c r="I78" s="181"/>
      <c r="J78" s="1080">
        <f>H78*H77*H76</f>
        <v>0.875</v>
      </c>
      <c r="K78" s="908" t="s">
        <v>141</v>
      </c>
    </row>
    <row r="79" spans="1:14">
      <c r="A79" s="1124"/>
      <c r="B79" s="1119"/>
      <c r="C79" s="1119"/>
      <c r="D79" s="1119"/>
      <c r="E79" s="1120"/>
      <c r="F79" s="179"/>
      <c r="G79" s="181"/>
      <c r="H79" s="179"/>
      <c r="I79" s="181"/>
      <c r="J79" s="1072"/>
      <c r="K79" s="908"/>
    </row>
    <row r="80" spans="1:14">
      <c r="A80" s="1124"/>
      <c r="B80" s="1119"/>
      <c r="C80" s="1119"/>
      <c r="D80" s="1119"/>
      <c r="E80" s="1120"/>
      <c r="F80" s="179">
        <v>1</v>
      </c>
      <c r="G80" s="181"/>
      <c r="H80" s="179">
        <v>0.75</v>
      </c>
      <c r="I80" s="181"/>
      <c r="J80" s="1072"/>
      <c r="K80" s="908"/>
    </row>
    <row r="81" spans="1:11">
      <c r="A81" s="1124"/>
      <c r="B81" s="1119"/>
      <c r="C81" s="1119"/>
      <c r="D81" s="1119"/>
      <c r="E81" s="1120"/>
      <c r="F81" s="179"/>
      <c r="G81" s="181"/>
      <c r="H81" s="179">
        <v>2.8</v>
      </c>
      <c r="I81" s="181"/>
      <c r="J81" s="1072"/>
      <c r="K81" s="908"/>
    </row>
    <row r="82" spans="1:11">
      <c r="A82" s="1124"/>
      <c r="B82" s="1119"/>
      <c r="C82" s="1119"/>
      <c r="D82" s="1119"/>
      <c r="E82" s="1120"/>
      <c r="F82" s="179"/>
      <c r="G82" s="181"/>
      <c r="H82" s="174">
        <v>0.25</v>
      </c>
      <c r="I82" s="181"/>
      <c r="J82" s="1080">
        <f>H82*H81*H80</f>
        <v>0.52499999999999991</v>
      </c>
      <c r="K82" s="908" t="s">
        <v>141</v>
      </c>
    </row>
    <row r="83" spans="1:11" ht="15.75" thickBot="1">
      <c r="A83" s="1124"/>
      <c r="B83" s="1119"/>
      <c r="C83" s="1119"/>
      <c r="D83" s="1119"/>
      <c r="E83" s="1120"/>
      <c r="F83" s="179"/>
      <c r="G83" s="181"/>
      <c r="H83" s="179"/>
      <c r="I83" s="181"/>
      <c r="J83" s="1134">
        <f>J82+J78</f>
        <v>1.4</v>
      </c>
      <c r="K83" s="908" t="s">
        <v>1222</v>
      </c>
    </row>
    <row r="84" spans="1:11" ht="15.75" thickTop="1">
      <c r="A84" s="1124"/>
      <c r="B84" s="1119"/>
      <c r="C84" s="1119"/>
      <c r="D84" s="1119"/>
      <c r="E84" s="1120"/>
      <c r="F84" s="179"/>
      <c r="G84" s="181"/>
      <c r="H84" s="179"/>
      <c r="I84" s="181"/>
      <c r="J84" s="1075"/>
      <c r="K84" s="908"/>
    </row>
    <row r="85" spans="1:11" ht="15.75">
      <c r="A85" s="1081" t="s">
        <v>618</v>
      </c>
      <c r="B85" s="1065"/>
      <c r="C85" s="1065"/>
      <c r="D85" s="1065"/>
      <c r="E85" s="1120"/>
      <c r="F85" s="180">
        <v>2</v>
      </c>
      <c r="G85" s="181"/>
      <c r="H85" s="179">
        <v>16</v>
      </c>
      <c r="I85" s="181"/>
      <c r="J85" s="1072"/>
      <c r="K85" s="908"/>
    </row>
    <row r="86" spans="1:11">
      <c r="A86" s="1124"/>
      <c r="B86" s="1119"/>
      <c r="C86" s="1119"/>
      <c r="D86" s="1119"/>
      <c r="E86" s="1120"/>
      <c r="F86" s="179"/>
      <c r="G86" s="181"/>
      <c r="H86" s="179">
        <v>2.5</v>
      </c>
      <c r="I86" s="181"/>
      <c r="J86" s="1075"/>
      <c r="K86" s="908"/>
    </row>
    <row r="87" spans="1:11" ht="15.75" thickBot="1">
      <c r="A87" s="1124"/>
      <c r="B87" s="1119"/>
      <c r="C87" s="1119"/>
      <c r="D87" s="1119"/>
      <c r="E87" s="1120"/>
      <c r="F87" s="179"/>
      <c r="G87" s="181"/>
      <c r="H87" s="174">
        <v>0.3</v>
      </c>
      <c r="I87" s="181"/>
      <c r="J87" s="1073">
        <f>H87*H86*H85*F85</f>
        <v>24</v>
      </c>
      <c r="K87" s="908" t="s">
        <v>141</v>
      </c>
    </row>
    <row r="88" spans="1:11" ht="15.75" thickTop="1">
      <c r="A88" s="1124"/>
      <c r="B88" s="198"/>
      <c r="C88" s="198"/>
      <c r="D88" s="198"/>
      <c r="E88" s="181"/>
      <c r="F88" s="179"/>
      <c r="G88" s="181"/>
      <c r="H88" s="179"/>
      <c r="I88" s="181"/>
      <c r="J88" s="1072"/>
      <c r="K88" s="908"/>
    </row>
    <row r="89" spans="1:11" ht="15.75">
      <c r="A89" s="1618" t="s">
        <v>1136</v>
      </c>
      <c r="B89" s="1619"/>
      <c r="C89" s="1619"/>
      <c r="D89" s="1619"/>
      <c r="E89" s="1620"/>
      <c r="F89" s="179"/>
      <c r="G89" s="181"/>
      <c r="H89" s="179"/>
      <c r="I89" s="181"/>
      <c r="J89" s="1083"/>
      <c r="K89" s="1055"/>
    </row>
    <row r="90" spans="1:11">
      <c r="A90" s="925" t="s">
        <v>1223</v>
      </c>
      <c r="B90" s="198"/>
      <c r="C90" s="575"/>
      <c r="D90" s="575"/>
      <c r="E90" s="576"/>
      <c r="F90" s="179"/>
      <c r="G90" s="181"/>
      <c r="H90" s="179"/>
      <c r="I90" s="180"/>
      <c r="J90" s="1072"/>
      <c r="K90" s="1055"/>
    </row>
    <row r="91" spans="1:11" ht="15.75">
      <c r="A91" s="1081" t="s">
        <v>651</v>
      </c>
      <c r="B91" s="198"/>
      <c r="C91" s="575"/>
      <c r="D91" s="575"/>
      <c r="E91" s="576"/>
      <c r="F91" s="179">
        <v>2</v>
      </c>
      <c r="G91" s="181"/>
      <c r="H91" s="179">
        <v>1.63</v>
      </c>
      <c r="I91" s="180"/>
      <c r="J91" s="1072"/>
      <c r="K91" s="908"/>
    </row>
    <row r="92" spans="1:11">
      <c r="A92" s="925"/>
      <c r="B92" s="198"/>
      <c r="C92" s="575"/>
      <c r="D92" s="575"/>
      <c r="E92" s="576"/>
      <c r="F92" s="179"/>
      <c r="G92" s="181"/>
      <c r="H92" s="174">
        <v>2.8</v>
      </c>
      <c r="I92" s="180"/>
      <c r="J92" s="1080">
        <f>H92*H91*F91</f>
        <v>9.1279999999999983</v>
      </c>
      <c r="K92" s="908" t="s">
        <v>842</v>
      </c>
    </row>
    <row r="93" spans="1:11">
      <c r="A93" s="925"/>
      <c r="B93" s="198"/>
      <c r="C93" s="575"/>
      <c r="D93" s="575"/>
      <c r="E93" s="576"/>
      <c r="F93" s="179"/>
      <c r="G93" s="181"/>
      <c r="H93" s="179"/>
      <c r="I93" s="180"/>
      <c r="J93" s="1072"/>
      <c r="K93" s="908"/>
    </row>
    <row r="94" spans="1:11">
      <c r="A94" s="925"/>
      <c r="B94" s="198"/>
      <c r="C94" s="575"/>
      <c r="D94" s="575"/>
      <c r="E94" s="576"/>
      <c r="F94" s="179">
        <v>2</v>
      </c>
      <c r="G94" s="181"/>
      <c r="H94" s="179">
        <v>1.28</v>
      </c>
      <c r="I94" s="180"/>
      <c r="J94" s="1072"/>
      <c r="K94" s="908"/>
    </row>
    <row r="95" spans="1:11">
      <c r="A95" s="925"/>
      <c r="B95" s="198"/>
      <c r="C95" s="575"/>
      <c r="D95" s="575"/>
      <c r="E95" s="576"/>
      <c r="F95" s="179"/>
      <c r="G95" s="181"/>
      <c r="H95" s="179">
        <v>2.8</v>
      </c>
      <c r="I95" s="180"/>
      <c r="J95" s="1080">
        <f>H95*H94*F94</f>
        <v>7.1679999999999993</v>
      </c>
      <c r="K95" s="908" t="s">
        <v>842</v>
      </c>
    </row>
    <row r="96" spans="1:11">
      <c r="A96" s="925"/>
      <c r="B96" s="198"/>
      <c r="C96" s="575"/>
      <c r="D96" s="575"/>
      <c r="E96" s="576"/>
      <c r="F96" s="179"/>
      <c r="G96" s="181"/>
      <c r="H96" s="179"/>
      <c r="I96" s="180"/>
      <c r="J96" s="1072"/>
      <c r="K96" s="908"/>
    </row>
    <row r="97" spans="1:11">
      <c r="A97" s="925"/>
      <c r="B97" s="198"/>
      <c r="C97" s="575"/>
      <c r="D97" s="575"/>
      <c r="E97" s="576"/>
      <c r="F97" s="179">
        <v>4</v>
      </c>
      <c r="G97" s="181"/>
      <c r="H97" s="179">
        <v>16</v>
      </c>
      <c r="I97" s="180"/>
      <c r="J97" s="1072"/>
      <c r="K97" s="908"/>
    </row>
    <row r="98" spans="1:11">
      <c r="A98" s="925"/>
      <c r="B98" s="198"/>
      <c r="C98" s="575"/>
      <c r="D98" s="575"/>
      <c r="E98" s="576"/>
      <c r="F98" s="179"/>
      <c r="G98" s="181"/>
      <c r="H98" s="179">
        <v>1.1000000000000001</v>
      </c>
      <c r="I98" s="180"/>
      <c r="J98" s="1080">
        <f>H98*H97*F97</f>
        <v>70.400000000000006</v>
      </c>
      <c r="K98" s="908" t="s">
        <v>842</v>
      </c>
    </row>
    <row r="99" spans="1:11">
      <c r="A99" s="925"/>
      <c r="B99" s="198"/>
      <c r="C99" s="575"/>
      <c r="D99" s="575"/>
      <c r="E99" s="576"/>
      <c r="F99" s="179"/>
      <c r="G99" s="181"/>
      <c r="H99" s="179"/>
      <c r="I99" s="180"/>
      <c r="J99" s="1072"/>
      <c r="K99" s="908"/>
    </row>
    <row r="100" spans="1:11">
      <c r="A100" s="925"/>
      <c r="B100" s="198"/>
      <c r="C100" s="575"/>
      <c r="D100" s="575"/>
      <c r="E100" s="576"/>
      <c r="F100" s="179">
        <v>2</v>
      </c>
      <c r="G100" s="181"/>
      <c r="H100" s="179">
        <v>16</v>
      </c>
      <c r="I100" s="180"/>
      <c r="J100" s="1072"/>
      <c r="K100" s="908"/>
    </row>
    <row r="101" spans="1:11">
      <c r="A101" s="925"/>
      <c r="B101" s="198"/>
      <c r="C101" s="575"/>
      <c r="D101" s="575"/>
      <c r="E101" s="576"/>
      <c r="F101" s="179"/>
      <c r="G101" s="181"/>
      <c r="H101" s="179">
        <v>0.25</v>
      </c>
      <c r="I101" s="180"/>
      <c r="J101" s="1080">
        <f>H101*H100*F100</f>
        <v>8</v>
      </c>
      <c r="K101" s="908" t="s">
        <v>842</v>
      </c>
    </row>
    <row r="102" spans="1:11">
      <c r="A102" s="925"/>
      <c r="B102" s="198"/>
      <c r="C102" s="575"/>
      <c r="D102" s="575"/>
      <c r="E102" s="576"/>
      <c r="F102" s="179"/>
      <c r="G102" s="181"/>
      <c r="H102" s="179"/>
      <c r="I102" s="180"/>
      <c r="J102" s="1072"/>
      <c r="K102" s="908"/>
    </row>
    <row r="103" spans="1:11">
      <c r="A103" s="925"/>
      <c r="B103" s="198"/>
      <c r="C103" s="575"/>
      <c r="D103" s="575"/>
      <c r="E103" s="576"/>
      <c r="F103" s="179">
        <v>4</v>
      </c>
      <c r="G103" s="181"/>
      <c r="H103" s="179">
        <v>0.75</v>
      </c>
      <c r="I103" s="180"/>
      <c r="J103" s="1072"/>
      <c r="K103" s="908"/>
    </row>
    <row r="104" spans="1:11">
      <c r="A104" s="925"/>
      <c r="B104" s="198"/>
      <c r="C104" s="575"/>
      <c r="D104" s="575"/>
      <c r="E104" s="576"/>
      <c r="F104" s="179"/>
      <c r="G104" s="181"/>
      <c r="H104" s="179">
        <v>2.8</v>
      </c>
      <c r="I104" s="180"/>
      <c r="J104" s="1080">
        <f>H104*H103*F103</f>
        <v>8.3999999999999986</v>
      </c>
      <c r="K104" s="908" t="s">
        <v>842</v>
      </c>
    </row>
    <row r="105" spans="1:11" ht="15.75" thickBot="1">
      <c r="A105" s="925"/>
      <c r="B105" s="198"/>
      <c r="C105" s="575"/>
      <c r="D105" s="575"/>
      <c r="E105" s="576"/>
      <c r="F105" s="179"/>
      <c r="G105" s="181"/>
      <c r="H105" s="179"/>
      <c r="I105" s="180"/>
      <c r="J105" s="1134">
        <f>J104+J101+J98+J95+J92</f>
        <v>103.09600000000002</v>
      </c>
      <c r="K105" s="908" t="s">
        <v>1224</v>
      </c>
    </row>
    <row r="106" spans="1:11" ht="15.75" thickTop="1">
      <c r="A106" s="925"/>
      <c r="B106" s="198"/>
      <c r="C106" s="575"/>
      <c r="D106" s="575"/>
      <c r="E106" s="576"/>
      <c r="F106" s="179"/>
      <c r="G106" s="181"/>
      <c r="H106" s="179"/>
      <c r="I106" s="180"/>
      <c r="J106" s="1072"/>
      <c r="K106" s="908"/>
    </row>
    <row r="107" spans="1:11">
      <c r="A107" s="925" t="s">
        <v>1225</v>
      </c>
      <c r="B107" s="198"/>
      <c r="C107" s="575"/>
      <c r="D107" s="575"/>
      <c r="E107" s="576"/>
      <c r="F107" s="179">
        <v>1</v>
      </c>
      <c r="G107" s="181"/>
      <c r="H107" s="179">
        <v>1.25</v>
      </c>
      <c r="I107" s="180"/>
      <c r="J107" s="1072"/>
      <c r="K107" s="908"/>
    </row>
    <row r="108" spans="1:11">
      <c r="A108" s="925"/>
      <c r="B108" s="198"/>
      <c r="C108" s="575"/>
      <c r="D108" s="575"/>
      <c r="E108" s="576"/>
      <c r="F108" s="179"/>
      <c r="G108" s="181"/>
      <c r="H108" s="174">
        <v>2.8</v>
      </c>
      <c r="I108" s="180"/>
      <c r="J108" s="1080">
        <f>H108*H107*F107</f>
        <v>3.5</v>
      </c>
      <c r="K108" s="908" t="s">
        <v>842</v>
      </c>
    </row>
    <row r="109" spans="1:11">
      <c r="A109" s="925"/>
      <c r="B109" s="198"/>
      <c r="C109" s="575"/>
      <c r="D109" s="575"/>
      <c r="E109" s="576"/>
      <c r="F109" s="179"/>
      <c r="G109" s="181"/>
      <c r="H109" s="179"/>
      <c r="I109" s="180"/>
      <c r="J109" s="1072"/>
      <c r="K109" s="908"/>
    </row>
    <row r="110" spans="1:11">
      <c r="A110" s="925"/>
      <c r="B110" s="198"/>
      <c r="C110" s="575"/>
      <c r="D110" s="575"/>
      <c r="E110" s="576"/>
      <c r="F110" s="179">
        <v>1</v>
      </c>
      <c r="G110" s="181"/>
      <c r="H110" s="179">
        <v>0.75</v>
      </c>
      <c r="I110" s="180"/>
      <c r="J110" s="1072"/>
      <c r="K110" s="908"/>
    </row>
    <row r="111" spans="1:11">
      <c r="A111" s="925"/>
      <c r="B111" s="198"/>
      <c r="C111" s="575"/>
      <c r="D111" s="575"/>
      <c r="E111" s="576"/>
      <c r="F111" s="179"/>
      <c r="G111" s="181"/>
      <c r="H111" s="174">
        <v>2.8</v>
      </c>
      <c r="I111" s="180"/>
      <c r="J111" s="1080">
        <f>H111*H110</f>
        <v>2.0999999999999996</v>
      </c>
      <c r="K111" s="908" t="s">
        <v>842</v>
      </c>
    </row>
    <row r="112" spans="1:11">
      <c r="A112" s="925"/>
      <c r="B112" s="198"/>
      <c r="C112" s="575"/>
      <c r="D112" s="575"/>
      <c r="E112" s="576"/>
      <c r="F112" s="179"/>
      <c r="G112" s="181"/>
      <c r="H112" s="179"/>
      <c r="I112" s="180"/>
      <c r="J112" s="1072"/>
      <c r="K112" s="908"/>
    </row>
    <row r="113" spans="1:11">
      <c r="A113" s="925"/>
      <c r="B113" s="198"/>
      <c r="C113" s="575"/>
      <c r="D113" s="575"/>
      <c r="E113" s="576"/>
      <c r="F113" s="179">
        <v>2</v>
      </c>
      <c r="G113" s="181"/>
      <c r="H113" s="179">
        <v>2.5</v>
      </c>
      <c r="I113" s="180"/>
      <c r="J113" s="1072"/>
      <c r="K113" s="908"/>
    </row>
    <row r="114" spans="1:11">
      <c r="A114" s="925"/>
      <c r="B114" s="198"/>
      <c r="C114" s="575"/>
      <c r="D114" s="575"/>
      <c r="E114" s="576"/>
      <c r="F114" s="179"/>
      <c r="G114" s="181"/>
      <c r="H114" s="174">
        <v>16</v>
      </c>
      <c r="I114" s="180"/>
      <c r="J114" s="1080">
        <f>H114*H113*F113</f>
        <v>80</v>
      </c>
      <c r="K114" s="908" t="s">
        <v>842</v>
      </c>
    </row>
    <row r="115" spans="1:11" ht="15.75" thickBot="1">
      <c r="A115" s="925"/>
      <c r="B115" s="198"/>
      <c r="C115" s="575"/>
      <c r="D115" s="575"/>
      <c r="E115" s="576"/>
      <c r="F115" s="179"/>
      <c r="G115" s="181"/>
      <c r="H115" s="179"/>
      <c r="I115" s="180"/>
      <c r="J115" s="1134">
        <f>J114+J111+J108</f>
        <v>85.6</v>
      </c>
      <c r="K115" s="908" t="s">
        <v>1226</v>
      </c>
    </row>
    <row r="116" spans="1:11" ht="15.75" thickTop="1">
      <c r="A116" s="925"/>
      <c r="B116" s="198"/>
      <c r="C116" s="575"/>
      <c r="D116" s="575"/>
      <c r="E116" s="576"/>
      <c r="F116" s="179"/>
      <c r="G116" s="181"/>
      <c r="H116" s="179"/>
      <c r="I116" s="180"/>
      <c r="J116" s="1072"/>
      <c r="K116" s="908"/>
    </row>
    <row r="117" spans="1:11">
      <c r="A117" s="925"/>
      <c r="B117" s="198"/>
      <c r="C117" s="575"/>
      <c r="D117" s="575"/>
      <c r="E117" s="576"/>
      <c r="F117" s="179"/>
      <c r="G117" s="181"/>
      <c r="H117" s="179"/>
      <c r="I117" s="180"/>
      <c r="J117" s="1072"/>
      <c r="K117" s="908"/>
    </row>
    <row r="118" spans="1:11">
      <c r="A118" s="925"/>
      <c r="B118" s="198"/>
      <c r="C118" s="575"/>
      <c r="D118" s="575"/>
      <c r="E118" s="576"/>
      <c r="F118" s="179"/>
      <c r="G118" s="181"/>
      <c r="H118" s="179"/>
      <c r="I118" s="180"/>
      <c r="J118" s="1072"/>
      <c r="K118" s="908"/>
    </row>
    <row r="119" spans="1:11">
      <c r="A119" s="925"/>
      <c r="B119" s="198"/>
      <c r="C119" s="575"/>
      <c r="D119" s="575"/>
      <c r="E119" s="576"/>
      <c r="F119" s="179"/>
      <c r="G119" s="181"/>
      <c r="H119" s="179"/>
      <c r="I119" s="180"/>
      <c r="J119" s="1072"/>
      <c r="K119" s="908"/>
    </row>
    <row r="120" spans="1:11">
      <c r="A120" s="927"/>
      <c r="B120" s="1119"/>
      <c r="C120" s="1119"/>
      <c r="D120" s="1119"/>
      <c r="E120" s="1120"/>
      <c r="F120" s="179"/>
      <c r="G120" s="181"/>
      <c r="H120" s="179"/>
      <c r="I120" s="181"/>
      <c r="J120" s="1072"/>
      <c r="K120" s="908"/>
    </row>
    <row r="121" spans="1:11" ht="15.75" thickBot="1">
      <c r="A121" s="928"/>
      <c r="B121" s="829"/>
      <c r="C121" s="829"/>
      <c r="D121" s="829"/>
      <c r="E121" s="830"/>
      <c r="F121" s="199"/>
      <c r="G121" s="195"/>
      <c r="H121" s="199"/>
      <c r="I121" s="204"/>
      <c r="J121" s="1073"/>
      <c r="K121" s="929"/>
    </row>
    <row r="122" spans="1:11" ht="15.75" thickTop="1">
      <c r="A122" s="907"/>
      <c r="B122" s="180"/>
      <c r="C122" s="180"/>
      <c r="D122" s="180"/>
      <c r="E122" s="180"/>
      <c r="F122" s="180"/>
      <c r="G122" s="180"/>
      <c r="H122" s="180"/>
      <c r="I122" s="180"/>
      <c r="J122" s="180"/>
      <c r="K122" s="908"/>
    </row>
    <row r="123" spans="1:11">
      <c r="A123" s="930"/>
      <c r="B123" s="189" t="s">
        <v>10</v>
      </c>
      <c r="C123" s="189" t="s">
        <v>18</v>
      </c>
      <c r="D123" s="190" t="s">
        <v>19</v>
      </c>
      <c r="E123" s="191"/>
      <c r="F123" s="191"/>
      <c r="G123" s="191"/>
      <c r="H123" s="191"/>
      <c r="I123" s="191"/>
      <c r="J123" s="191"/>
      <c r="K123" s="917"/>
    </row>
    <row r="124" spans="1:11">
      <c r="A124" s="916" t="s">
        <v>15</v>
      </c>
      <c r="B124" s="188"/>
      <c r="C124" s="188"/>
      <c r="D124" s="194"/>
      <c r="E124" s="191"/>
      <c r="F124" s="191"/>
      <c r="G124" s="191"/>
      <c r="H124" s="191"/>
      <c r="I124" s="191"/>
      <c r="J124" s="191"/>
      <c r="K124" s="917"/>
    </row>
    <row r="125" spans="1:11">
      <c r="A125" s="916" t="s">
        <v>16</v>
      </c>
      <c r="B125" s="188"/>
      <c r="C125" s="188"/>
      <c r="D125" s="194"/>
      <c r="E125" s="191"/>
      <c r="F125" s="191"/>
      <c r="G125" s="191"/>
      <c r="H125" s="191"/>
      <c r="I125" s="191"/>
      <c r="J125" s="191"/>
      <c r="K125" s="917"/>
    </row>
    <row r="126" spans="1:11" ht="15.75" thickBot="1">
      <c r="A126" s="918" t="s">
        <v>553</v>
      </c>
      <c r="B126" s="919"/>
      <c r="C126" s="919"/>
      <c r="D126" s="920"/>
      <c r="E126" s="921"/>
      <c r="F126" s="921"/>
      <c r="G126" s="921"/>
      <c r="H126" s="921"/>
      <c r="I126" s="921"/>
      <c r="J126" s="921"/>
      <c r="K126" s="922"/>
    </row>
  </sheetData>
  <mergeCells count="19">
    <mergeCell ref="A57:E57"/>
    <mergeCell ref="A89:E89"/>
    <mergeCell ref="A48:B48"/>
    <mergeCell ref="C48:E49"/>
    <mergeCell ref="F49:G49"/>
    <mergeCell ref="H49:I49"/>
    <mergeCell ref="D52:E52"/>
    <mergeCell ref="A1:B1"/>
    <mergeCell ref="C1:E2"/>
    <mergeCell ref="F2:G2"/>
    <mergeCell ref="H2:I2"/>
    <mergeCell ref="A10:E10"/>
    <mergeCell ref="D5:E5"/>
    <mergeCell ref="B36:E36"/>
    <mergeCell ref="B34:E34"/>
    <mergeCell ref="B35:D35"/>
    <mergeCell ref="A17:E17"/>
    <mergeCell ref="A32:E32"/>
    <mergeCell ref="A25:E25"/>
  </mergeCells>
  <printOptions horizontalCentered="1" verticalCentered="1"/>
  <pageMargins left="0" right="0" top="0" bottom="0" header="0.16" footer="0.14000000000000001"/>
  <pageSetup paperSize="9" scale="66" fitToHeight="6" orientation="portrait" r:id="rId1"/>
  <rowBreaks count="1" manualBreakCount="1">
    <brk id="46" max="10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93"/>
  <sheetViews>
    <sheetView view="pageBreakPreview" topLeftCell="A76" zoomScale="115" zoomScaleSheetLayoutView="115" workbookViewId="0">
      <selection activeCell="I58" sqref="I58"/>
    </sheetView>
  </sheetViews>
  <sheetFormatPr defaultRowHeight="15"/>
  <cols>
    <col min="1" max="1" width="35.5703125" style="168" customWidth="1"/>
    <col min="2" max="2" width="9.140625" style="168" customWidth="1"/>
    <col min="3" max="3" width="6.85546875" style="168" customWidth="1"/>
    <col min="4" max="4" width="9" style="168" customWidth="1"/>
    <col min="5" max="5" width="9.140625" style="168" hidden="1" customWidth="1"/>
    <col min="6" max="6" width="10" style="168" customWidth="1"/>
    <col min="7" max="7" width="0.42578125" style="168" hidden="1" customWidth="1"/>
    <col min="8" max="8" width="12.140625" style="168" customWidth="1"/>
    <col min="9" max="9" width="18.42578125" style="168" customWidth="1"/>
    <col min="10" max="16384" width="9.140625" style="168"/>
  </cols>
  <sheetData>
    <row r="1" spans="1:11" s="203" customFormat="1" ht="15" customHeight="1">
      <c r="A1" s="1084" t="s">
        <v>0</v>
      </c>
      <c r="B1" s="1608"/>
      <c r="C1" s="1609"/>
      <c r="D1" s="897" t="s">
        <v>7</v>
      </c>
      <c r="E1" s="898"/>
      <c r="F1" s="899" t="s">
        <v>8</v>
      </c>
      <c r="G1" s="898"/>
      <c r="H1" s="899" t="s">
        <v>61</v>
      </c>
      <c r="I1" s="900"/>
    </row>
    <row r="2" spans="1:11" ht="15" customHeight="1">
      <c r="A2" s="901" t="s">
        <v>552</v>
      </c>
      <c r="B2" s="1584"/>
      <c r="C2" s="1585"/>
      <c r="D2" s="1595">
        <v>18</v>
      </c>
      <c r="E2" s="1596"/>
      <c r="F2" s="1586"/>
      <c r="G2" s="1587"/>
      <c r="H2" s="479"/>
      <c r="I2" s="902">
        <v>1</v>
      </c>
    </row>
    <row r="3" spans="1:11">
      <c r="A3" s="903" t="s">
        <v>2</v>
      </c>
      <c r="B3" s="172"/>
      <c r="C3" s="166"/>
      <c r="D3" s="165" t="s">
        <v>9</v>
      </c>
      <c r="E3" s="172"/>
      <c r="F3" s="172"/>
      <c r="G3" s="172"/>
      <c r="H3" s="172"/>
      <c r="I3" s="904"/>
    </row>
    <row r="4" spans="1:11">
      <c r="A4" s="905" t="s">
        <v>490</v>
      </c>
      <c r="B4" s="456">
        <v>1</v>
      </c>
      <c r="C4" s="175"/>
      <c r="D4" s="176" t="s">
        <v>562</v>
      </c>
      <c r="E4" s="177"/>
      <c r="F4" s="177"/>
      <c r="G4" s="177"/>
      <c r="H4" s="177"/>
      <c r="I4" s="906"/>
    </row>
    <row r="5" spans="1:11">
      <c r="A5" s="903" t="s">
        <v>491</v>
      </c>
      <c r="B5" s="1588" t="s">
        <v>1186</v>
      </c>
      <c r="C5" s="1589"/>
      <c r="D5" s="165" t="s">
        <v>10</v>
      </c>
      <c r="E5" s="172"/>
      <c r="F5" s="172"/>
      <c r="G5" s="172"/>
      <c r="H5" s="172"/>
      <c r="I5" s="904"/>
    </row>
    <row r="6" spans="1:11">
      <c r="A6" s="905">
        <v>8</v>
      </c>
      <c r="B6" s="177"/>
      <c r="C6" s="175"/>
      <c r="D6" s="178"/>
      <c r="E6" s="177"/>
      <c r="F6" s="177"/>
      <c r="G6" s="177"/>
      <c r="H6" s="177"/>
      <c r="I6" s="906"/>
    </row>
    <row r="7" spans="1:11">
      <c r="A7" s="907"/>
      <c r="B7" s="180"/>
      <c r="C7" s="180"/>
      <c r="D7" s="180"/>
      <c r="E7" s="180"/>
      <c r="F7" s="180"/>
      <c r="G7" s="180"/>
      <c r="H7" s="180"/>
      <c r="I7" s="908"/>
    </row>
    <row r="8" spans="1:11">
      <c r="A8" s="909" t="s">
        <v>11</v>
      </c>
      <c r="B8" s="172"/>
      <c r="C8" s="166"/>
      <c r="D8" s="184" t="s">
        <v>12</v>
      </c>
      <c r="E8" s="166"/>
      <c r="F8" s="184" t="s">
        <v>13</v>
      </c>
      <c r="G8" s="166"/>
      <c r="H8" s="184" t="s">
        <v>14</v>
      </c>
      <c r="I8" s="1071" t="s">
        <v>1189</v>
      </c>
    </row>
    <row r="9" spans="1:11">
      <c r="A9" s="911" t="s">
        <v>643</v>
      </c>
      <c r="B9" s="198"/>
      <c r="C9" s="181"/>
      <c r="D9" s="179"/>
      <c r="E9" s="181"/>
      <c r="F9" s="179"/>
      <c r="G9" s="181"/>
      <c r="H9" s="179"/>
      <c r="I9" s="1072"/>
    </row>
    <row r="10" spans="1:11" ht="18.75" customHeight="1">
      <c r="A10" s="1613" t="str">
        <f>SUMMARY!C198</f>
        <v>b) In 500mm thick RC wall</v>
      </c>
      <c r="B10" s="1614"/>
      <c r="C10" s="1615"/>
      <c r="D10" s="179"/>
      <c r="E10" s="181"/>
      <c r="F10" s="179"/>
      <c r="G10" s="181"/>
      <c r="H10" s="179"/>
      <c r="I10" s="1072"/>
    </row>
    <row r="11" spans="1:11" ht="15.75" customHeight="1">
      <c r="A11" s="923"/>
      <c r="B11" s="198"/>
      <c r="C11" s="181"/>
      <c r="D11" s="574">
        <v>1</v>
      </c>
      <c r="E11" s="181"/>
      <c r="F11" s="179">
        <v>36</v>
      </c>
      <c r="G11" s="181"/>
      <c r="H11" s="179"/>
      <c r="I11" s="1072"/>
    </row>
    <row r="12" spans="1:11" ht="15.75" customHeight="1">
      <c r="A12" s="1061"/>
      <c r="B12" s="1059"/>
      <c r="C12" s="1060"/>
      <c r="D12" s="179"/>
      <c r="E12" s="181"/>
      <c r="F12" s="179">
        <v>2.94</v>
      </c>
      <c r="G12" s="181"/>
      <c r="H12" s="1072"/>
      <c r="I12" s="179"/>
    </row>
    <row r="13" spans="1:11" ht="15.75" thickBot="1">
      <c r="A13" s="1061"/>
      <c r="B13" s="198"/>
      <c r="C13" s="181"/>
      <c r="D13" s="179"/>
      <c r="E13" s="181"/>
      <c r="F13" s="174">
        <v>0.5</v>
      </c>
      <c r="G13" s="181"/>
      <c r="H13" s="1079">
        <f>F13*F12*F11</f>
        <v>52.92</v>
      </c>
      <c r="I13" s="1072" t="s">
        <v>141</v>
      </c>
    </row>
    <row r="14" spans="1:11" ht="15.75" thickTop="1">
      <c r="A14" s="1093"/>
      <c r="B14" s="198"/>
      <c r="C14" s="181"/>
      <c r="D14" s="179"/>
      <c r="E14" s="181"/>
      <c r="F14" s="179"/>
      <c r="G14" s="181"/>
      <c r="H14" s="179"/>
      <c r="I14" s="1072"/>
    </row>
    <row r="15" spans="1:11">
      <c r="A15" s="1094" t="str">
        <f>SUMMARY!C199</f>
        <v>c) In 250mm thick RC wall</v>
      </c>
      <c r="B15" s="198"/>
      <c r="C15" s="181"/>
      <c r="D15" s="179">
        <v>4</v>
      </c>
      <c r="E15" s="181"/>
      <c r="F15" s="179">
        <v>9.5500000000000007</v>
      </c>
      <c r="G15" s="181"/>
      <c r="H15" s="179"/>
      <c r="I15" s="1072"/>
    </row>
    <row r="16" spans="1:11">
      <c r="A16" s="1093"/>
      <c r="B16" s="198"/>
      <c r="C16" s="181"/>
      <c r="D16" s="179"/>
      <c r="E16" s="181"/>
      <c r="F16" s="179">
        <v>1.35</v>
      </c>
      <c r="G16" s="181"/>
      <c r="H16" s="179"/>
      <c r="I16" s="1072"/>
      <c r="K16" s="168">
        <f>H25+H21+H17+H13</f>
        <v>75.847499999999997</v>
      </c>
    </row>
    <row r="17" spans="1:12" ht="15.75" thickBot="1">
      <c r="A17" s="1093"/>
      <c r="B17" s="198"/>
      <c r="C17" s="181"/>
      <c r="D17" s="179"/>
      <c r="E17" s="181"/>
      <c r="F17" s="174">
        <v>0.25</v>
      </c>
      <c r="G17" s="181"/>
      <c r="H17" s="1079">
        <f>F17*F16*F15*D15</f>
        <v>12.892500000000002</v>
      </c>
      <c r="I17" s="1072" t="s">
        <v>141</v>
      </c>
    </row>
    <row r="18" spans="1:12" ht="15.75" thickTop="1">
      <c r="A18" s="1093"/>
      <c r="B18" s="198"/>
      <c r="C18" s="181"/>
      <c r="D18" s="179"/>
      <c r="E18" s="181"/>
      <c r="F18" s="179"/>
      <c r="G18" s="181"/>
      <c r="H18" s="179"/>
      <c r="I18" s="1072"/>
    </row>
    <row r="19" spans="1:12">
      <c r="A19" s="1093" t="str">
        <f>SUMMARY!C200</f>
        <v>d) In 250mm thick suspended slab</v>
      </c>
      <c r="B19" s="198"/>
      <c r="C19" s="181"/>
      <c r="D19" s="179">
        <v>4</v>
      </c>
      <c r="E19" s="181"/>
      <c r="F19" s="179">
        <v>9.15</v>
      </c>
      <c r="G19" s="181"/>
      <c r="H19" s="179"/>
      <c r="I19" s="1072"/>
    </row>
    <row r="20" spans="1:12">
      <c r="A20" s="1093"/>
      <c r="B20" s="198"/>
      <c r="C20" s="181"/>
      <c r="D20" s="179"/>
      <c r="E20" s="181"/>
      <c r="F20" s="179">
        <v>0.4</v>
      </c>
      <c r="G20" s="181"/>
      <c r="H20" s="179"/>
      <c r="I20" s="1072"/>
    </row>
    <row r="21" spans="1:12" ht="15.75" thickBot="1">
      <c r="A21" s="1093"/>
      <c r="B21" s="198"/>
      <c r="C21" s="181"/>
      <c r="D21" s="179"/>
      <c r="E21" s="181"/>
      <c r="F21" s="174">
        <v>0.25</v>
      </c>
      <c r="G21" s="181"/>
      <c r="H21" s="1079">
        <f>F21*F20*F19*D19</f>
        <v>3.66</v>
      </c>
      <c r="I21" s="1072" t="s">
        <v>141</v>
      </c>
    </row>
    <row r="22" spans="1:12" ht="15.75" thickTop="1">
      <c r="A22" s="1093"/>
      <c r="B22" s="198"/>
      <c r="C22" s="181"/>
      <c r="D22" s="179"/>
      <c r="E22" s="181"/>
      <c r="F22" s="179"/>
      <c r="G22" s="181"/>
      <c r="H22" s="179"/>
      <c r="I22" s="1072"/>
    </row>
    <row r="23" spans="1:12">
      <c r="A23" s="925" t="s">
        <v>1190</v>
      </c>
      <c r="B23" s="575"/>
      <c r="C23" s="576"/>
      <c r="D23" s="179">
        <v>4</v>
      </c>
      <c r="E23" s="181"/>
      <c r="F23" s="179">
        <v>7.5</v>
      </c>
      <c r="G23" s="180"/>
      <c r="H23" s="179"/>
      <c r="I23" s="1072"/>
      <c r="L23" s="542"/>
    </row>
    <row r="24" spans="1:12">
      <c r="A24" s="1622"/>
      <c r="B24" s="1623"/>
      <c r="C24" s="576"/>
      <c r="D24" s="179"/>
      <c r="E24" s="181"/>
      <c r="F24" s="179">
        <v>0.85</v>
      </c>
      <c r="G24" s="180"/>
      <c r="H24" s="179"/>
      <c r="I24" s="1072"/>
    </row>
    <row r="25" spans="1:12" ht="15.75" thickBot="1">
      <c r="A25" s="1061"/>
      <c r="B25" s="575"/>
      <c r="C25" s="576"/>
      <c r="D25" s="179"/>
      <c r="E25" s="181"/>
      <c r="F25" s="174">
        <v>0.25</v>
      </c>
      <c r="G25" s="180"/>
      <c r="H25" s="1073">
        <f>F25*F24*F23*D23</f>
        <v>6.375</v>
      </c>
      <c r="I25" s="1072" t="s">
        <v>141</v>
      </c>
    </row>
    <row r="26" spans="1:12" ht="15.75" thickTop="1">
      <c r="A26" s="1093"/>
      <c r="B26" s="575"/>
      <c r="C26" s="576"/>
      <c r="D26" s="179"/>
      <c r="E26" s="181"/>
      <c r="F26" s="179"/>
      <c r="G26" s="180"/>
      <c r="H26" s="185"/>
      <c r="I26" s="1072"/>
    </row>
    <row r="27" spans="1:12">
      <c r="A27" s="1061"/>
      <c r="B27" s="198"/>
      <c r="C27" s="181"/>
      <c r="D27" s="179"/>
      <c r="E27" s="181"/>
      <c r="F27" s="179"/>
      <c r="G27" s="180"/>
      <c r="H27" s="214"/>
      <c r="I27" s="1072"/>
    </row>
    <row r="28" spans="1:12" ht="15.75" customHeight="1">
      <c r="A28" s="926" t="s">
        <v>1191</v>
      </c>
      <c r="B28" s="196"/>
      <c r="C28" s="181"/>
      <c r="D28" s="179"/>
      <c r="E28" s="181"/>
      <c r="F28" s="179"/>
      <c r="G28" s="181"/>
      <c r="H28" s="179"/>
      <c r="I28" s="1072"/>
      <c r="K28" s="542"/>
    </row>
    <row r="29" spans="1:12">
      <c r="A29" s="927" t="str">
        <f>SUMMARY!C198</f>
        <v>b) In 500mm thick RC wall</v>
      </c>
      <c r="B29" s="196"/>
      <c r="C29" s="181"/>
      <c r="D29" s="179">
        <v>2</v>
      </c>
      <c r="E29" s="181"/>
      <c r="F29" s="179">
        <v>36</v>
      </c>
      <c r="G29" s="180"/>
      <c r="H29" s="179"/>
      <c r="I29" s="1072"/>
    </row>
    <row r="30" spans="1:12" ht="15.75" thickBot="1">
      <c r="A30" s="927"/>
      <c r="B30" s="1059"/>
      <c r="C30" s="1060"/>
      <c r="D30" s="179"/>
      <c r="E30" s="181"/>
      <c r="F30" s="174">
        <v>2.95</v>
      </c>
      <c r="G30" s="180"/>
      <c r="H30" s="1079">
        <f>F30*F29*D29</f>
        <v>212.4</v>
      </c>
      <c r="I30" s="1072" t="s">
        <v>842</v>
      </c>
    </row>
    <row r="31" spans="1:12" ht="15.75" thickTop="1">
      <c r="B31" s="1091"/>
      <c r="C31" s="1092"/>
      <c r="D31" s="179"/>
      <c r="E31" s="181"/>
      <c r="F31" s="179"/>
      <c r="G31" s="180"/>
      <c r="H31" s="179"/>
      <c r="I31" s="1072"/>
    </row>
    <row r="32" spans="1:12">
      <c r="A32" s="927" t="str">
        <f>SUMMARY!C205</f>
        <v>c) To 250mm thick RC wall</v>
      </c>
      <c r="B32" s="1091"/>
      <c r="C32" s="1092"/>
      <c r="D32" s="179">
        <v>4</v>
      </c>
      <c r="E32" s="181"/>
      <c r="F32" s="179">
        <v>9.8000000000000007</v>
      </c>
      <c r="G32" s="180"/>
      <c r="H32" s="179"/>
      <c r="I32" s="1072"/>
    </row>
    <row r="33" spans="1:9">
      <c r="A33" s="927"/>
      <c r="B33" s="1091"/>
      <c r="C33" s="1092"/>
      <c r="D33" s="179"/>
      <c r="E33" s="181"/>
      <c r="F33" s="174">
        <v>1.35</v>
      </c>
      <c r="G33" s="180"/>
      <c r="H33" s="1080">
        <f>F33*F32*D32</f>
        <v>52.920000000000009</v>
      </c>
      <c r="I33" s="1072" t="s">
        <v>842</v>
      </c>
    </row>
    <row r="34" spans="1:9">
      <c r="A34" s="927"/>
      <c r="B34" s="1091"/>
      <c r="C34" s="1092"/>
      <c r="D34" s="179"/>
      <c r="E34" s="181"/>
      <c r="F34" s="179"/>
      <c r="G34" s="180"/>
      <c r="H34" s="179"/>
      <c r="I34" s="1072"/>
    </row>
    <row r="35" spans="1:9">
      <c r="A35" s="927"/>
      <c r="B35" s="1091"/>
      <c r="C35" s="1092"/>
      <c r="D35" s="179">
        <v>4</v>
      </c>
      <c r="E35" s="181"/>
      <c r="F35" s="179">
        <v>9.5</v>
      </c>
      <c r="G35" s="180"/>
      <c r="H35" s="179"/>
      <c r="I35" s="1072"/>
    </row>
    <row r="36" spans="1:9">
      <c r="A36" s="927"/>
      <c r="B36" s="1091"/>
      <c r="C36" s="1092"/>
      <c r="D36" s="179"/>
      <c r="E36" s="181"/>
      <c r="F36" s="174">
        <v>1.1000000000000001</v>
      </c>
      <c r="G36" s="180"/>
      <c r="H36" s="1080">
        <f>F36*F35*D35</f>
        <v>41.800000000000004</v>
      </c>
      <c r="I36" s="1072" t="s">
        <v>842</v>
      </c>
    </row>
    <row r="37" spans="1:9" ht="15.75" thickBot="1">
      <c r="A37" s="927" t="s">
        <v>1137</v>
      </c>
      <c r="B37" s="1091"/>
      <c r="C37" s="1092"/>
      <c r="D37" s="179"/>
      <c r="E37" s="181"/>
      <c r="F37" s="179"/>
      <c r="G37" s="180"/>
      <c r="H37" s="573">
        <f>H36+H33</f>
        <v>94.720000000000013</v>
      </c>
      <c r="I37" s="1072" t="s">
        <v>842</v>
      </c>
    </row>
    <row r="38" spans="1:9" ht="15.75" customHeight="1" thickTop="1">
      <c r="A38" s="927"/>
      <c r="B38" s="1435"/>
      <c r="C38" s="1436"/>
      <c r="D38" s="179"/>
      <c r="E38" s="181"/>
      <c r="F38" s="179"/>
      <c r="G38" s="180"/>
      <c r="H38" s="179"/>
      <c r="I38" s="1072"/>
    </row>
    <row r="39" spans="1:9">
      <c r="A39" s="927" t="str">
        <f>SUMMARY!C201</f>
        <v>e) In 250mm thick inclined</v>
      </c>
      <c r="B39" s="1059"/>
      <c r="C39" s="1060"/>
      <c r="D39" s="179">
        <v>4</v>
      </c>
      <c r="E39" s="181"/>
      <c r="F39" s="179">
        <v>4.125</v>
      </c>
      <c r="G39" s="180"/>
      <c r="H39" s="179"/>
      <c r="I39" s="1072"/>
    </row>
    <row r="40" spans="1:9" ht="16.5" customHeight="1" thickBot="1">
      <c r="A40" s="927"/>
      <c r="B40" s="1059"/>
      <c r="C40" s="1060"/>
      <c r="D40" s="179"/>
      <c r="E40" s="181"/>
      <c r="F40" s="174">
        <v>8.74</v>
      </c>
      <c r="G40" s="180"/>
      <c r="H40" s="1079">
        <f>F40*F39*D39</f>
        <v>144.21</v>
      </c>
      <c r="I40" s="1072" t="s">
        <v>842</v>
      </c>
    </row>
    <row r="41" spans="1:9" ht="15.75" thickTop="1">
      <c r="A41" s="927"/>
      <c r="B41" s="1059"/>
      <c r="C41" s="1060"/>
      <c r="D41" s="179"/>
      <c r="E41" s="181"/>
      <c r="F41" s="179"/>
      <c r="G41" s="180"/>
      <c r="H41" s="179"/>
      <c r="I41" s="1072"/>
    </row>
    <row r="42" spans="1:9">
      <c r="A42" s="927" t="str">
        <f>SUMMARY!C200</f>
        <v>d) In 250mm thick suspended slab</v>
      </c>
      <c r="B42" s="1059"/>
      <c r="C42" s="1060"/>
      <c r="D42" s="179">
        <v>4</v>
      </c>
      <c r="E42" s="181"/>
      <c r="F42" s="179">
        <v>9.15</v>
      </c>
      <c r="G42" s="180"/>
      <c r="H42" s="179"/>
      <c r="I42" s="1072"/>
    </row>
    <row r="43" spans="1:9" ht="15.75" thickBot="1">
      <c r="A43" s="927"/>
      <c r="B43" s="1059"/>
      <c r="C43" s="1060"/>
      <c r="D43" s="179"/>
      <c r="E43" s="181"/>
      <c r="F43" s="174">
        <v>0.65</v>
      </c>
      <c r="G43" s="180"/>
      <c r="H43" s="1079">
        <f>F43*F42*D42</f>
        <v>23.790000000000003</v>
      </c>
      <c r="I43" s="1072" t="s">
        <v>842</v>
      </c>
    </row>
    <row r="44" spans="1:9" ht="15.75" thickTop="1">
      <c r="A44" s="927"/>
      <c r="B44" s="1059"/>
      <c r="C44" s="1060"/>
      <c r="D44" s="179"/>
      <c r="E44" s="181"/>
      <c r="F44" s="179"/>
      <c r="G44" s="180"/>
      <c r="H44" s="179"/>
      <c r="I44" s="1072"/>
    </row>
    <row r="45" spans="1:9">
      <c r="A45" s="927" t="s">
        <v>1192</v>
      </c>
      <c r="B45" s="1059"/>
      <c r="C45" s="1060"/>
      <c r="D45" s="179"/>
      <c r="E45" s="181"/>
      <c r="F45" s="179"/>
      <c r="G45" s="180"/>
      <c r="H45" s="179"/>
      <c r="I45" s="1072"/>
    </row>
    <row r="46" spans="1:9" ht="14.25" customHeight="1" thickBot="1">
      <c r="A46" s="927" t="str">
        <f>SUMMARY!C209</f>
        <v>a) dia 10mm deformed bar</v>
      </c>
      <c r="B46" s="1059"/>
      <c r="C46" s="1060"/>
      <c r="D46" s="179">
        <v>1</v>
      </c>
      <c r="E46" s="181"/>
      <c r="F46" s="179"/>
      <c r="G46" s="180"/>
      <c r="H46" s="1079">
        <f>'bar schedule (2)'!K76</f>
        <v>1116.92425</v>
      </c>
      <c r="I46" s="1072" t="s">
        <v>103</v>
      </c>
    </row>
    <row r="47" spans="1:9" ht="16.5" thickTop="1" thickBot="1">
      <c r="A47" s="927" t="str">
        <f>SUMMARY!C211</f>
        <v>c) dia 14mm deformed bar</v>
      </c>
      <c r="B47" s="1435"/>
      <c r="C47" s="1436"/>
      <c r="D47" s="179">
        <v>1</v>
      </c>
      <c r="E47" s="181"/>
      <c r="F47" s="179"/>
      <c r="G47" s="180"/>
      <c r="H47" s="1088">
        <f>'bar schedule (2)'!M76</f>
        <v>203.11200000000002</v>
      </c>
      <c r="I47" s="1072" t="s">
        <v>103</v>
      </c>
    </row>
    <row r="48" spans="1:9" ht="15.75" thickTop="1">
      <c r="A48" s="927"/>
      <c r="B48" s="1431"/>
      <c r="C48" s="1432"/>
      <c r="D48" s="179"/>
      <c r="E48" s="181"/>
      <c r="F48" s="179"/>
      <c r="G48" s="180"/>
      <c r="H48" s="179"/>
      <c r="I48" s="1072"/>
    </row>
    <row r="49" spans="1:9" ht="15.75" thickBot="1">
      <c r="A49" s="927" t="s">
        <v>1197</v>
      </c>
      <c r="B49" s="1435"/>
      <c r="C49" s="1436"/>
      <c r="D49" s="179">
        <v>1</v>
      </c>
      <c r="E49" s="181"/>
      <c r="F49" s="179"/>
      <c r="G49" s="180"/>
      <c r="H49" s="1079">
        <v>30.4</v>
      </c>
      <c r="I49" s="1072" t="s">
        <v>484</v>
      </c>
    </row>
    <row r="50" spans="1:9" ht="15.75" thickTop="1">
      <c r="A50" s="927"/>
      <c r="B50" s="1163"/>
      <c r="C50" s="1163"/>
      <c r="D50" s="180"/>
      <c r="E50" s="180"/>
      <c r="F50" s="180"/>
      <c r="G50" s="180"/>
      <c r="H50" s="180"/>
      <c r="I50" s="180"/>
    </row>
    <row r="51" spans="1:9">
      <c r="A51" s="907"/>
      <c r="B51" s="180"/>
      <c r="C51" s="180"/>
      <c r="D51" s="180"/>
      <c r="E51" s="180"/>
      <c r="F51" s="180"/>
      <c r="G51" s="180"/>
      <c r="H51" s="180"/>
      <c r="I51" s="908"/>
    </row>
    <row r="52" spans="1:9">
      <c r="A52" s="930"/>
      <c r="B52" s="190" t="s">
        <v>19</v>
      </c>
      <c r="C52" s="191"/>
      <c r="D52" s="191"/>
      <c r="E52" s="191"/>
      <c r="F52" s="191"/>
      <c r="G52" s="191"/>
      <c r="H52" s="191"/>
      <c r="I52" s="917"/>
    </row>
    <row r="53" spans="1:9">
      <c r="A53" s="916" t="s">
        <v>15</v>
      </c>
      <c r="B53" s="194"/>
      <c r="C53" s="191"/>
      <c r="D53" s="191"/>
      <c r="E53" s="191"/>
      <c r="F53" s="191"/>
      <c r="G53" s="191"/>
      <c r="H53" s="191"/>
      <c r="I53" s="917"/>
    </row>
    <row r="54" spans="1:9">
      <c r="A54" s="916" t="s">
        <v>16</v>
      </c>
      <c r="B54" s="194"/>
      <c r="C54" s="191"/>
      <c r="D54" s="191"/>
      <c r="E54" s="191"/>
      <c r="F54" s="191"/>
      <c r="G54" s="191"/>
      <c r="H54" s="191"/>
      <c r="I54" s="917"/>
    </row>
    <row r="55" spans="1:9" ht="15.75" thickBot="1">
      <c r="A55" s="918" t="s">
        <v>553</v>
      </c>
      <c r="B55" s="920"/>
      <c r="C55" s="921"/>
      <c r="D55" s="921"/>
      <c r="E55" s="921"/>
      <c r="F55" s="921"/>
      <c r="G55" s="921"/>
      <c r="H55" s="921"/>
      <c r="I55" s="922"/>
    </row>
    <row r="56" spans="1:9" ht="15.75" thickBot="1">
      <c r="A56" s="927"/>
      <c r="B56" s="1163"/>
      <c r="C56" s="1164"/>
      <c r="D56" s="179"/>
      <c r="E56" s="181"/>
      <c r="F56" s="179"/>
      <c r="G56" s="180"/>
      <c r="H56" s="179"/>
      <c r="I56" s="1072"/>
    </row>
    <row r="57" spans="1:9">
      <c r="A57" s="1165" t="s">
        <v>0</v>
      </c>
      <c r="B57" s="1608"/>
      <c r="C57" s="1609"/>
      <c r="D57" s="897" t="s">
        <v>7</v>
      </c>
      <c r="E57" s="898"/>
      <c r="F57" s="899" t="s">
        <v>8</v>
      </c>
      <c r="G57" s="898"/>
      <c r="H57" s="899" t="s">
        <v>61</v>
      </c>
      <c r="I57" s="900"/>
    </row>
    <row r="58" spans="1:9" ht="15.75">
      <c r="A58" s="901" t="s">
        <v>552</v>
      </c>
      <c r="B58" s="1584"/>
      <c r="C58" s="1585"/>
      <c r="D58" s="1595">
        <v>19</v>
      </c>
      <c r="E58" s="1596"/>
      <c r="F58" s="1586"/>
      <c r="G58" s="1587"/>
      <c r="H58" s="479"/>
      <c r="I58" s="902">
        <v>1</v>
      </c>
    </row>
    <row r="59" spans="1:9">
      <c r="A59" s="903" t="s">
        <v>2</v>
      </c>
      <c r="B59" s="172"/>
      <c r="C59" s="166"/>
      <c r="D59" s="165" t="s">
        <v>9</v>
      </c>
      <c r="E59" s="172"/>
      <c r="F59" s="172"/>
      <c r="G59" s="172"/>
      <c r="H59" s="172"/>
      <c r="I59" s="904"/>
    </row>
    <row r="60" spans="1:9">
      <c r="A60" s="905" t="s">
        <v>490</v>
      </c>
      <c r="B60" s="456">
        <v>1</v>
      </c>
      <c r="C60" s="175"/>
      <c r="D60" s="176" t="s">
        <v>1266</v>
      </c>
      <c r="E60" s="177"/>
      <c r="F60" s="177"/>
      <c r="G60" s="177"/>
      <c r="H60" s="177"/>
      <c r="I60" s="906"/>
    </row>
    <row r="61" spans="1:9">
      <c r="A61" s="903" t="s">
        <v>491</v>
      </c>
      <c r="B61" s="1588" t="s">
        <v>1186</v>
      </c>
      <c r="C61" s="1589"/>
      <c r="D61" s="165" t="s">
        <v>10</v>
      </c>
      <c r="E61" s="172"/>
      <c r="F61" s="172"/>
      <c r="G61" s="172"/>
      <c r="H61" s="172"/>
      <c r="I61" s="904"/>
    </row>
    <row r="62" spans="1:9">
      <c r="A62" s="905">
        <v>8</v>
      </c>
      <c r="B62" s="177"/>
      <c r="C62" s="175"/>
      <c r="D62" s="178"/>
      <c r="E62" s="177"/>
      <c r="F62" s="177"/>
      <c r="G62" s="177"/>
      <c r="H62" s="177"/>
      <c r="I62" s="906"/>
    </row>
    <row r="63" spans="1:9">
      <c r="A63" s="907"/>
      <c r="B63" s="180"/>
      <c r="C63" s="180"/>
      <c r="D63" s="180"/>
      <c r="E63" s="180"/>
      <c r="F63" s="180"/>
      <c r="G63" s="180"/>
      <c r="H63" s="180"/>
      <c r="I63" s="908"/>
    </row>
    <row r="64" spans="1:9">
      <c r="A64" s="909" t="s">
        <v>11</v>
      </c>
      <c r="B64" s="172"/>
      <c r="C64" s="166"/>
      <c r="D64" s="184" t="s">
        <v>12</v>
      </c>
      <c r="E64" s="166"/>
      <c r="F64" s="184" t="s">
        <v>13</v>
      </c>
      <c r="G64" s="166"/>
      <c r="H64" s="184" t="s">
        <v>14</v>
      </c>
      <c r="I64" s="1071" t="s">
        <v>1189</v>
      </c>
    </row>
    <row r="65" spans="1:9">
      <c r="A65" s="927"/>
      <c r="B65" s="1163"/>
      <c r="C65" s="1164"/>
      <c r="D65" s="179"/>
      <c r="E65" s="181"/>
      <c r="F65" s="179"/>
      <c r="G65" s="180"/>
      <c r="H65" s="179"/>
      <c r="I65" s="1072"/>
    </row>
    <row r="66" spans="1:9">
      <c r="A66" s="926" t="s">
        <v>1267</v>
      </c>
      <c r="B66" s="1163"/>
      <c r="C66" s="1164"/>
      <c r="D66" s="179"/>
      <c r="E66" s="181"/>
      <c r="F66" s="179"/>
      <c r="G66" s="180"/>
      <c r="H66" s="179"/>
      <c r="I66" s="1072"/>
    </row>
    <row r="67" spans="1:9">
      <c r="A67" s="927" t="s">
        <v>1268</v>
      </c>
      <c r="B67" s="1163"/>
      <c r="C67" s="1164"/>
      <c r="D67" s="179">
        <v>1</v>
      </c>
      <c r="E67" s="181"/>
      <c r="F67" s="179">
        <v>14366.81</v>
      </c>
      <c r="G67" s="180"/>
      <c r="H67" s="1080">
        <f>F67</f>
        <v>14366.81</v>
      </c>
      <c r="I67" s="1072" t="s">
        <v>103</v>
      </c>
    </row>
    <row r="68" spans="1:9">
      <c r="A68" s="927" t="s">
        <v>1279</v>
      </c>
      <c r="B68" s="196"/>
      <c r="C68" s="181"/>
      <c r="D68" s="179"/>
      <c r="E68" s="181"/>
      <c r="F68" s="179">
        <v>605.47</v>
      </c>
      <c r="G68" s="180"/>
      <c r="H68" s="188">
        <f>F68</f>
        <v>605.47</v>
      </c>
      <c r="I68" s="1072" t="s">
        <v>103</v>
      </c>
    </row>
    <row r="69" spans="1:9" ht="15.75" thickBot="1">
      <c r="A69" s="913" t="s">
        <v>1269</v>
      </c>
      <c r="B69" s="196"/>
      <c r="C69" s="181"/>
      <c r="D69" s="179"/>
      <c r="E69" s="181"/>
      <c r="F69" s="179"/>
      <c r="G69" s="180"/>
      <c r="H69" s="1134">
        <f>H67-H68</f>
        <v>13761.34</v>
      </c>
      <c r="I69" s="1072" t="s">
        <v>103</v>
      </c>
    </row>
    <row r="70" spans="1:9" ht="16.5" thickTop="1">
      <c r="A70" s="1618"/>
      <c r="B70" s="1619"/>
      <c r="C70" s="1620"/>
      <c r="D70" s="179"/>
      <c r="E70" s="181"/>
      <c r="F70" s="179"/>
      <c r="G70" s="180"/>
      <c r="H70" s="179"/>
      <c r="I70" s="1072"/>
    </row>
    <row r="71" spans="1:9">
      <c r="A71" s="926" t="s">
        <v>1270</v>
      </c>
      <c r="B71" s="1616"/>
      <c r="C71" s="1617"/>
      <c r="D71" s="179"/>
      <c r="E71" s="181"/>
      <c r="F71" s="179"/>
      <c r="G71" s="180"/>
      <c r="H71" s="179"/>
      <c r="I71" s="1072"/>
    </row>
    <row r="72" spans="1:9">
      <c r="A72" s="913" t="s">
        <v>1272</v>
      </c>
      <c r="B72" s="1085"/>
      <c r="C72" s="180"/>
      <c r="D72" s="179"/>
      <c r="E72" s="181"/>
      <c r="F72" s="179"/>
      <c r="G72" s="180"/>
      <c r="H72" s="1072"/>
      <c r="I72" s="1072"/>
    </row>
    <row r="73" spans="1:9" ht="15.75" thickBot="1">
      <c r="A73" s="913" t="s">
        <v>1271</v>
      </c>
      <c r="B73" s="1435"/>
      <c r="C73" s="1436"/>
      <c r="D73" s="179">
        <v>1</v>
      </c>
      <c r="E73" s="181"/>
      <c r="F73" s="179">
        <v>819.02</v>
      </c>
      <c r="G73" s="180"/>
      <c r="H73" s="1079">
        <f>F73</f>
        <v>819.02</v>
      </c>
      <c r="I73" s="1072" t="s">
        <v>103</v>
      </c>
    </row>
    <row r="74" spans="1:9" ht="25.5" customHeight="1" thickTop="1" thickBot="1">
      <c r="A74" s="913" t="s">
        <v>1193</v>
      </c>
      <c r="B74" s="1059"/>
      <c r="C74" s="1060"/>
      <c r="D74" s="179">
        <v>1</v>
      </c>
      <c r="E74" s="181"/>
      <c r="F74" s="179">
        <v>518.16</v>
      </c>
      <c r="G74" s="180"/>
      <c r="H74" s="1088">
        <f>F74</f>
        <v>518.16</v>
      </c>
      <c r="I74" s="1072" t="s">
        <v>103</v>
      </c>
    </row>
    <row r="75" spans="1:9" ht="25.5" customHeight="1" thickTop="1" thickBot="1">
      <c r="A75" s="913" t="s">
        <v>1273</v>
      </c>
      <c r="B75" s="1059"/>
      <c r="C75" s="1060"/>
      <c r="D75" s="179">
        <v>1</v>
      </c>
      <c r="E75" s="181"/>
      <c r="F75" s="179">
        <v>22</v>
      </c>
      <c r="G75" s="180"/>
      <c r="H75" s="1088">
        <v>22</v>
      </c>
      <c r="I75" s="1072" t="s">
        <v>484</v>
      </c>
    </row>
    <row r="76" spans="1:9" ht="25.5" customHeight="1" thickTop="1">
      <c r="A76" s="913" t="s">
        <v>1274</v>
      </c>
      <c r="B76" s="1163"/>
      <c r="C76" s="1164"/>
      <c r="D76" s="179"/>
      <c r="E76" s="181"/>
      <c r="F76" s="179"/>
      <c r="G76" s="180"/>
      <c r="H76" s="179"/>
      <c r="I76" s="1072"/>
    </row>
    <row r="77" spans="1:9" ht="25.5" customHeight="1">
      <c r="A77" s="913" t="s">
        <v>1275</v>
      </c>
      <c r="B77" s="1163"/>
      <c r="C77" s="1164"/>
      <c r="D77" s="179"/>
      <c r="E77" s="181"/>
      <c r="F77" s="179"/>
      <c r="G77" s="180"/>
      <c r="H77" s="179"/>
      <c r="I77" s="1072"/>
    </row>
    <row r="78" spans="1:9" ht="25.5" customHeight="1">
      <c r="A78" s="913" t="s">
        <v>1276</v>
      </c>
      <c r="B78" s="1163"/>
      <c r="C78" s="1164"/>
      <c r="D78" s="179">
        <v>1</v>
      </c>
      <c r="E78" s="181"/>
      <c r="F78" s="179">
        <v>7627.21</v>
      </c>
      <c r="G78" s="180"/>
      <c r="H78" s="1080">
        <f t="shared" ref="H78:H83" si="0">F78</f>
        <v>7627.21</v>
      </c>
      <c r="I78" s="1072" t="s">
        <v>103</v>
      </c>
    </row>
    <row r="79" spans="1:9" ht="25.5" customHeight="1">
      <c r="A79" s="913" t="s">
        <v>138</v>
      </c>
      <c r="B79" s="1163"/>
      <c r="C79" s="1164"/>
      <c r="D79" s="179">
        <v>1</v>
      </c>
      <c r="E79" s="181"/>
      <c r="F79" s="179">
        <v>4405.0200000000004</v>
      </c>
      <c r="G79" s="180"/>
      <c r="H79" s="188">
        <f t="shared" si="0"/>
        <v>4405.0200000000004</v>
      </c>
      <c r="I79" s="1072" t="s">
        <v>103</v>
      </c>
    </row>
    <row r="80" spans="1:9" ht="25.5" customHeight="1" thickBot="1">
      <c r="A80" s="913" t="s">
        <v>1278</v>
      </c>
      <c r="B80" s="1163"/>
      <c r="C80" s="1164"/>
      <c r="D80" s="179"/>
      <c r="E80" s="181"/>
      <c r="F80" s="179">
        <f>F78-F79</f>
        <v>3222.1899999999996</v>
      </c>
      <c r="G80" s="180"/>
      <c r="H80" s="1134">
        <f t="shared" si="0"/>
        <v>3222.1899999999996</v>
      </c>
      <c r="I80" s="1072" t="s">
        <v>103</v>
      </c>
    </row>
    <row r="81" spans="1:11" ht="25.5" customHeight="1" thickTop="1">
      <c r="A81" s="913" t="s">
        <v>1277</v>
      </c>
      <c r="B81" s="1163"/>
      <c r="C81" s="1164"/>
      <c r="D81" s="179">
        <v>1</v>
      </c>
      <c r="E81" s="181"/>
      <c r="F81" s="179">
        <v>13491.5</v>
      </c>
      <c r="G81" s="180"/>
      <c r="H81" s="1169">
        <f t="shared" si="0"/>
        <v>13491.5</v>
      </c>
      <c r="I81" s="1072" t="s">
        <v>103</v>
      </c>
    </row>
    <row r="82" spans="1:11" ht="25.5" customHeight="1">
      <c r="A82" s="913" t="s">
        <v>138</v>
      </c>
      <c r="B82" s="1163"/>
      <c r="C82" s="1164"/>
      <c r="D82" s="179">
        <v>1</v>
      </c>
      <c r="E82" s="181"/>
      <c r="F82" s="179">
        <v>8980.7000000000007</v>
      </c>
      <c r="G82" s="180"/>
      <c r="H82" s="188">
        <f t="shared" si="0"/>
        <v>8980.7000000000007</v>
      </c>
      <c r="I82" s="1072" t="s">
        <v>103</v>
      </c>
    </row>
    <row r="83" spans="1:11" ht="25.5" customHeight="1" thickBot="1">
      <c r="A83" s="913" t="s">
        <v>1278</v>
      </c>
      <c r="B83" s="1163"/>
      <c r="C83" s="1164"/>
      <c r="D83" s="179"/>
      <c r="E83" s="181"/>
      <c r="F83" s="179">
        <f>F81-F82</f>
        <v>4510.7999999999993</v>
      </c>
      <c r="G83" s="180"/>
      <c r="H83" s="1134">
        <f t="shared" si="0"/>
        <v>4510.7999999999993</v>
      </c>
      <c r="I83" s="1072" t="s">
        <v>103</v>
      </c>
    </row>
    <row r="84" spans="1:11" ht="25.5" customHeight="1" thickTop="1">
      <c r="A84" s="911" t="s">
        <v>1280</v>
      </c>
      <c r="B84" s="1166"/>
      <c r="C84" s="1167"/>
      <c r="D84" s="179"/>
      <c r="E84" s="181"/>
      <c r="F84" s="179"/>
      <c r="G84" s="180"/>
      <c r="H84" s="185"/>
      <c r="I84" s="1072"/>
    </row>
    <row r="85" spans="1:11" ht="25.5" customHeight="1">
      <c r="A85" s="913" t="s">
        <v>1281</v>
      </c>
      <c r="B85" s="1166" t="s">
        <v>1282</v>
      </c>
      <c r="C85" s="1167"/>
      <c r="D85" s="179">
        <v>1</v>
      </c>
      <c r="E85" s="181"/>
      <c r="F85" s="174">
        <v>13.5</v>
      </c>
      <c r="G85" s="180"/>
      <c r="H85" s="1149">
        <v>13.5</v>
      </c>
      <c r="I85" s="1072" t="s">
        <v>842</v>
      </c>
    </row>
    <row r="86" spans="1:11" ht="25.5" customHeight="1" thickBot="1">
      <c r="A86" s="913"/>
      <c r="B86" s="1166" t="s">
        <v>1283</v>
      </c>
      <c r="C86" s="1060"/>
      <c r="D86" s="179"/>
      <c r="E86" s="181"/>
      <c r="F86" s="174">
        <v>1</v>
      </c>
      <c r="G86" s="180"/>
      <c r="H86" s="1079">
        <f>F86*F85</f>
        <v>13.5</v>
      </c>
      <c r="I86" s="1072" t="s">
        <v>141</v>
      </c>
      <c r="K86" s="1086"/>
    </row>
    <row r="87" spans="1:11" ht="15.75" thickTop="1">
      <c r="A87" s="913"/>
      <c r="B87" s="1059"/>
      <c r="C87" s="1060"/>
      <c r="D87" s="179"/>
      <c r="E87" s="181"/>
      <c r="F87" s="179"/>
      <c r="G87" s="180"/>
      <c r="H87" s="179"/>
      <c r="I87" s="1072"/>
    </row>
    <row r="88" spans="1:11" ht="15.75" thickBot="1">
      <c r="A88" s="928"/>
      <c r="B88" s="829"/>
      <c r="C88" s="830"/>
      <c r="D88" s="199"/>
      <c r="E88" s="195"/>
      <c r="F88" s="199"/>
      <c r="G88" s="204"/>
      <c r="H88" s="187"/>
      <c r="I88" s="1080"/>
    </row>
    <row r="89" spans="1:11" ht="15.75" thickTop="1">
      <c r="A89" s="907"/>
      <c r="B89" s="180"/>
      <c r="C89" s="180"/>
      <c r="D89" s="180"/>
      <c r="E89" s="180"/>
      <c r="F89" s="180"/>
      <c r="G89" s="180"/>
      <c r="H89" s="180"/>
      <c r="I89" s="908"/>
    </row>
    <row r="90" spans="1:11">
      <c r="A90" s="930"/>
      <c r="B90" s="190" t="s">
        <v>19</v>
      </c>
      <c r="C90" s="191"/>
      <c r="D90" s="191"/>
      <c r="E90" s="191"/>
      <c r="F90" s="191"/>
      <c r="G90" s="191"/>
      <c r="H90" s="191"/>
      <c r="I90" s="917"/>
    </row>
    <row r="91" spans="1:11">
      <c r="A91" s="916" t="s">
        <v>15</v>
      </c>
      <c r="B91" s="194"/>
      <c r="C91" s="191"/>
      <c r="D91" s="191"/>
      <c r="E91" s="191"/>
      <c r="F91" s="191"/>
      <c r="G91" s="191"/>
      <c r="H91" s="191"/>
      <c r="I91" s="917"/>
    </row>
    <row r="92" spans="1:11">
      <c r="A92" s="916" t="s">
        <v>16</v>
      </c>
      <c r="B92" s="194"/>
      <c r="C92" s="191"/>
      <c r="D92" s="191"/>
      <c r="E92" s="191"/>
      <c r="F92" s="191"/>
      <c r="G92" s="191"/>
      <c r="H92" s="191"/>
      <c r="I92" s="917"/>
    </row>
    <row r="93" spans="1:11" ht="15.75" thickBot="1">
      <c r="A93" s="918" t="s">
        <v>553</v>
      </c>
      <c r="B93" s="920"/>
      <c r="C93" s="921"/>
      <c r="D93" s="921"/>
      <c r="E93" s="921"/>
      <c r="F93" s="921"/>
      <c r="G93" s="921"/>
      <c r="H93" s="921"/>
      <c r="I93" s="922"/>
    </row>
  </sheetData>
  <mergeCells count="17">
    <mergeCell ref="F58:G58"/>
    <mergeCell ref="B61:C61"/>
    <mergeCell ref="D2:E2"/>
    <mergeCell ref="F2:G2"/>
    <mergeCell ref="B71:C71"/>
    <mergeCell ref="B1:C2"/>
    <mergeCell ref="A10:C10"/>
    <mergeCell ref="B5:C5"/>
    <mergeCell ref="A24:B24"/>
    <mergeCell ref="B38:C38"/>
    <mergeCell ref="D58:E58"/>
    <mergeCell ref="B73:C73"/>
    <mergeCell ref="B47:C47"/>
    <mergeCell ref="B48:C48"/>
    <mergeCell ref="B49:C49"/>
    <mergeCell ref="A70:C70"/>
    <mergeCell ref="B57:C58"/>
  </mergeCells>
  <printOptions horizontalCentered="1" verticalCentered="1"/>
  <pageMargins left="0" right="0" top="0" bottom="0" header="0.3" footer="0.3"/>
  <pageSetup paperSize="9" scale="83" fitToHeight="6" orientation="portrait" r:id="rId1"/>
  <rowBreaks count="1" manualBreakCount="1">
    <brk id="51" max="8" man="1"/>
  </rowBreaks>
  <drawing r:id="rId2"/>
  <legacyDrawing r:id="rId3"/>
  <oleObjects>
    <oleObject progId="AutoCAD Drawing" shapeId="24577" r:id="rId4"/>
  </oleObjects>
</worksheet>
</file>

<file path=xl/worksheets/sheet12.xml><?xml version="1.0" encoding="utf-8"?>
<worksheet xmlns="http://schemas.openxmlformats.org/spreadsheetml/2006/main" xmlns:r="http://schemas.openxmlformats.org/officeDocument/2006/relationships">
  <dimension ref="A1:N68"/>
  <sheetViews>
    <sheetView view="pageBreakPreview" topLeftCell="A46" zoomScale="93" zoomScaleSheetLayoutView="93" workbookViewId="0">
      <selection activeCell="D54" sqref="D54"/>
    </sheetView>
  </sheetViews>
  <sheetFormatPr defaultRowHeight="15"/>
  <cols>
    <col min="1" max="1" width="38.85546875" style="168" customWidth="1"/>
    <col min="2" max="4" width="9.140625" style="168"/>
    <col min="5" max="5" width="11.5703125" style="168" customWidth="1"/>
    <col min="6" max="6" width="9" style="168" customWidth="1"/>
    <col min="7" max="7" width="13.85546875" style="168" hidden="1" customWidth="1"/>
    <col min="8" max="8" width="9.85546875" style="168" customWidth="1"/>
    <col min="9" max="9" width="9.140625" style="168" hidden="1" customWidth="1"/>
    <col min="10" max="10" width="9.140625" style="168" customWidth="1"/>
    <col min="11" max="11" width="10.42578125" style="168" bestFit="1" customWidth="1"/>
    <col min="12" max="16384" width="9.140625" style="168"/>
  </cols>
  <sheetData>
    <row r="1" spans="1:14" s="203" customFormat="1" ht="15" customHeight="1">
      <c r="A1" s="1605" t="s">
        <v>0</v>
      </c>
      <c r="B1" s="1606"/>
      <c r="C1" s="1607" t="s">
        <v>4</v>
      </c>
      <c r="D1" s="1608"/>
      <c r="E1" s="1609"/>
      <c r="F1" s="897" t="s">
        <v>7</v>
      </c>
      <c r="G1" s="898"/>
      <c r="H1" s="899" t="s">
        <v>8</v>
      </c>
      <c r="I1" s="898"/>
      <c r="J1" s="1089"/>
      <c r="K1" s="1052" t="s">
        <v>61</v>
      </c>
    </row>
    <row r="2" spans="1:14" ht="15" customHeight="1">
      <c r="A2" s="937" t="s">
        <v>552</v>
      </c>
      <c r="B2" s="169"/>
      <c r="C2" s="1583"/>
      <c r="D2" s="1584"/>
      <c r="E2" s="1585"/>
      <c r="F2" s="1595">
        <v>20</v>
      </c>
      <c r="G2" s="1596"/>
      <c r="H2" s="1586"/>
      <c r="I2" s="1587"/>
      <c r="J2" s="1087"/>
      <c r="K2" s="1053">
        <v>1</v>
      </c>
    </row>
    <row r="3" spans="1:14">
      <c r="A3" s="903" t="s">
        <v>2</v>
      </c>
      <c r="B3" s="171"/>
      <c r="C3" s="167" t="s">
        <v>5</v>
      </c>
      <c r="D3" s="172"/>
      <c r="E3" s="166"/>
      <c r="F3" s="165" t="s">
        <v>9</v>
      </c>
      <c r="G3" s="172"/>
      <c r="H3" s="172"/>
      <c r="I3" s="172"/>
      <c r="J3" s="172"/>
      <c r="K3" s="904"/>
    </row>
    <row r="4" spans="1:14">
      <c r="A4" s="905" t="s">
        <v>490</v>
      </c>
      <c r="B4" s="173"/>
      <c r="C4" s="174"/>
      <c r="D4" s="456" t="s">
        <v>867</v>
      </c>
      <c r="E4" s="175"/>
      <c r="F4" s="176" t="s">
        <v>1357</v>
      </c>
      <c r="G4" s="177"/>
      <c r="H4" s="177"/>
      <c r="I4" s="177"/>
      <c r="J4" s="177"/>
      <c r="K4" s="906"/>
    </row>
    <row r="5" spans="1:14">
      <c r="A5" s="903" t="s">
        <v>491</v>
      </c>
      <c r="B5" s="282"/>
      <c r="C5" s="165" t="s">
        <v>6</v>
      </c>
      <c r="D5" s="172" t="s">
        <v>1186</v>
      </c>
      <c r="E5" s="166"/>
      <c r="F5" s="165" t="s">
        <v>10</v>
      </c>
      <c r="G5" s="172"/>
      <c r="H5" s="172"/>
      <c r="I5" s="172"/>
      <c r="J5" s="172"/>
      <c r="K5" s="904"/>
    </row>
    <row r="6" spans="1:14">
      <c r="A6" s="905">
        <v>11.4</v>
      </c>
      <c r="B6" s="173"/>
      <c r="C6" s="174"/>
      <c r="D6" s="177"/>
      <c r="E6" s="175"/>
      <c r="F6" s="178"/>
      <c r="G6" s="177"/>
      <c r="H6" s="177"/>
      <c r="I6" s="177"/>
      <c r="J6" s="177"/>
      <c r="K6" s="906"/>
    </row>
    <row r="7" spans="1:14">
      <c r="A7" s="938" t="s">
        <v>11</v>
      </c>
      <c r="B7" s="180"/>
      <c r="C7" s="180"/>
      <c r="D7" s="180"/>
      <c r="E7" s="180"/>
      <c r="F7" s="180"/>
      <c r="G7" s="180"/>
      <c r="H7" s="180"/>
      <c r="I7" s="180"/>
      <c r="J7" s="180"/>
      <c r="K7" s="908"/>
    </row>
    <row r="8" spans="1:14">
      <c r="A8" s="947" t="s">
        <v>1358</v>
      </c>
      <c r="B8" s="183"/>
      <c r="C8" s="172"/>
      <c r="D8" s="172"/>
      <c r="E8" s="166"/>
      <c r="F8" s="184" t="s">
        <v>12</v>
      </c>
      <c r="G8" s="166"/>
      <c r="H8" s="184" t="s">
        <v>13</v>
      </c>
      <c r="I8" s="172"/>
      <c r="J8" s="184" t="s">
        <v>14</v>
      </c>
      <c r="K8" s="1054" t="s">
        <v>1189</v>
      </c>
    </row>
    <row r="9" spans="1:14">
      <c r="A9" s="925" t="s">
        <v>1359</v>
      </c>
      <c r="B9" s="512"/>
      <c r="C9" s="180"/>
      <c r="D9" s="180"/>
      <c r="E9" s="181"/>
      <c r="F9" s="179"/>
      <c r="G9" s="181"/>
      <c r="H9" s="179"/>
      <c r="I9" s="180"/>
      <c r="J9" s="179"/>
      <c r="K9" s="908"/>
    </row>
    <row r="10" spans="1:14" ht="30">
      <c r="A10" s="925" t="s">
        <v>1377</v>
      </c>
      <c r="B10" s="198"/>
      <c r="C10" s="198"/>
      <c r="D10" s="198"/>
      <c r="E10" s="181"/>
      <c r="F10" s="179">
        <v>1</v>
      </c>
      <c r="G10" s="181"/>
      <c r="H10" s="179">
        <v>11.95</v>
      </c>
      <c r="I10" s="180"/>
      <c r="J10" s="1072"/>
      <c r="K10" s="908"/>
      <c r="N10" s="1086"/>
    </row>
    <row r="11" spans="1:14" ht="15.75">
      <c r="A11" s="1629"/>
      <c r="B11" s="1408"/>
      <c r="C11" s="1408"/>
      <c r="D11" s="1408"/>
      <c r="E11" s="1409"/>
      <c r="F11" s="179"/>
      <c r="G11" s="181"/>
      <c r="H11" s="179">
        <v>10.5</v>
      </c>
      <c r="I11" s="180"/>
      <c r="J11" s="1072"/>
      <c r="K11" s="908"/>
    </row>
    <row r="12" spans="1:14" ht="16.5" thickBot="1">
      <c r="A12" s="1626"/>
      <c r="B12" s="1627"/>
      <c r="C12" s="1627"/>
      <c r="D12" s="1627"/>
      <c r="E12" s="1628"/>
      <c r="F12" s="179"/>
      <c r="G12" s="181"/>
      <c r="H12" s="174">
        <v>1.5</v>
      </c>
      <c r="I12" s="180"/>
      <c r="J12" s="1079">
        <f>H12*H11*H10</f>
        <v>188.21249999999998</v>
      </c>
      <c r="K12" s="908" t="s">
        <v>141</v>
      </c>
    </row>
    <row r="13" spans="1:14" ht="15.75" thickTop="1">
      <c r="A13" s="1622"/>
      <c r="B13" s="1623"/>
      <c r="C13" s="1623"/>
      <c r="D13" s="1623"/>
      <c r="E13" s="1630"/>
      <c r="F13" s="179"/>
      <c r="G13" s="181"/>
      <c r="H13" s="179"/>
      <c r="I13" s="180"/>
      <c r="J13" s="1072"/>
      <c r="K13" s="908"/>
    </row>
    <row r="14" spans="1:14" ht="30">
      <c r="A14" s="925" t="s">
        <v>1378</v>
      </c>
      <c r="B14" s="1049"/>
      <c r="C14" s="1049"/>
      <c r="D14" s="1049"/>
      <c r="E14" s="1051"/>
      <c r="F14" s="179"/>
      <c r="G14" s="180"/>
      <c r="H14" s="179"/>
      <c r="I14" s="180"/>
      <c r="J14" s="1072"/>
      <c r="K14" s="1055"/>
    </row>
    <row r="15" spans="1:14">
      <c r="A15" s="925"/>
      <c r="B15" s="1599"/>
      <c r="C15" s="1599"/>
      <c r="D15" s="1599"/>
      <c r="E15" s="1600"/>
      <c r="F15" s="179">
        <v>1</v>
      </c>
      <c r="G15" s="180"/>
      <c r="H15" s="179">
        <v>11.95</v>
      </c>
      <c r="I15" s="180"/>
      <c r="J15" s="1072"/>
      <c r="K15" s="185"/>
    </row>
    <row r="16" spans="1:14">
      <c r="A16" s="925"/>
      <c r="B16" s="198"/>
      <c r="C16" s="198"/>
      <c r="D16" s="198"/>
      <c r="E16" s="181"/>
      <c r="F16" s="179"/>
      <c r="G16" s="180"/>
      <c r="H16" s="179">
        <v>10.5</v>
      </c>
      <c r="I16" s="180"/>
      <c r="J16" s="179"/>
      <c r="K16" s="1055"/>
    </row>
    <row r="17" spans="1:11" ht="16.5" thickBot="1">
      <c r="A17" s="1629"/>
      <c r="B17" s="1408"/>
      <c r="C17" s="1408"/>
      <c r="D17" s="1408"/>
      <c r="E17" s="1409"/>
      <c r="F17" s="179"/>
      <c r="G17" s="180"/>
      <c r="H17" s="174">
        <v>1.5</v>
      </c>
      <c r="I17" s="180"/>
      <c r="J17" s="1079">
        <f>H17*H16*H15*F15</f>
        <v>188.21249999999998</v>
      </c>
      <c r="K17" s="1055" t="s">
        <v>141</v>
      </c>
    </row>
    <row r="18" spans="1:11" ht="16.5" thickTop="1">
      <c r="A18" s="1629"/>
      <c r="B18" s="1408"/>
      <c r="C18" s="1408"/>
      <c r="D18" s="1408"/>
      <c r="E18" s="1409"/>
      <c r="F18" s="179"/>
      <c r="G18" s="180"/>
      <c r="H18" s="179"/>
      <c r="I18" s="180"/>
      <c r="J18" s="179"/>
      <c r="K18" s="1055"/>
    </row>
    <row r="19" spans="1:11" ht="30">
      <c r="A19" s="925" t="s">
        <v>1379</v>
      </c>
      <c r="B19" s="1046"/>
      <c r="C19" s="1046"/>
      <c r="D19" s="1046"/>
      <c r="E19" s="1246"/>
      <c r="F19" s="179"/>
      <c r="G19" s="180"/>
      <c r="H19" s="179"/>
      <c r="I19" s="180"/>
      <c r="J19" s="179"/>
      <c r="K19" s="1055"/>
    </row>
    <row r="20" spans="1:11">
      <c r="A20" s="925"/>
      <c r="B20" s="1599"/>
      <c r="C20" s="1599"/>
      <c r="D20" s="1599"/>
      <c r="E20" s="1600"/>
      <c r="F20" s="179">
        <v>1</v>
      </c>
      <c r="G20" s="180"/>
      <c r="H20" s="179">
        <v>11.95</v>
      </c>
      <c r="I20" s="180"/>
      <c r="J20" s="179"/>
      <c r="K20" s="1055"/>
    </row>
    <row r="21" spans="1:11">
      <c r="A21" s="913"/>
      <c r="B21" s="1599"/>
      <c r="C21" s="1599"/>
      <c r="D21" s="1599"/>
      <c r="E21" s="1600"/>
      <c r="F21" s="179"/>
      <c r="G21" s="180"/>
      <c r="H21" s="179">
        <v>10.5</v>
      </c>
      <c r="I21" s="180"/>
      <c r="J21" s="179"/>
      <c r="K21" s="185"/>
    </row>
    <row r="22" spans="1:11" ht="15.75" thickBot="1">
      <c r="A22" s="913"/>
      <c r="B22" s="196"/>
      <c r="C22" s="196"/>
      <c r="D22" s="196"/>
      <c r="E22" s="181"/>
      <c r="F22" s="179"/>
      <c r="G22" s="181"/>
      <c r="H22" s="174">
        <v>3</v>
      </c>
      <c r="I22" s="180"/>
      <c r="J22" s="1079">
        <f>H22*H21*H20*F20</f>
        <v>376.42499999999995</v>
      </c>
      <c r="K22" s="1055" t="s">
        <v>141</v>
      </c>
    </row>
    <row r="23" spans="1:11" ht="30.75" thickTop="1">
      <c r="A23" s="925" t="s">
        <v>1360</v>
      </c>
      <c r="B23" s="1245"/>
      <c r="C23" s="1245"/>
      <c r="D23" s="1245"/>
      <c r="E23" s="1246"/>
      <c r="F23" s="179"/>
      <c r="G23" s="180"/>
      <c r="H23" s="179"/>
      <c r="I23" s="180"/>
      <c r="J23" s="179"/>
      <c r="K23" s="1055"/>
    </row>
    <row r="24" spans="1:11" ht="15.75">
      <c r="A24" s="1626"/>
      <c r="B24" s="1627"/>
      <c r="C24" s="1627"/>
      <c r="D24" s="1627"/>
      <c r="E24" s="1628"/>
      <c r="F24" s="179">
        <v>1</v>
      </c>
      <c r="G24" s="181"/>
      <c r="H24" s="179">
        <v>11.95</v>
      </c>
      <c r="I24" s="180"/>
      <c r="J24" s="179"/>
      <c r="K24" s="1055"/>
    </row>
    <row r="25" spans="1:11">
      <c r="A25" s="913"/>
      <c r="B25" s="196"/>
      <c r="C25" s="196"/>
      <c r="D25" s="196"/>
      <c r="E25" s="181"/>
      <c r="F25" s="179"/>
      <c r="G25" s="181"/>
      <c r="H25" s="179">
        <v>10.5</v>
      </c>
      <c r="I25" s="180"/>
      <c r="J25" s="179"/>
      <c r="K25" s="1055"/>
    </row>
    <row r="26" spans="1:11" ht="15.75" thickBot="1">
      <c r="A26" s="925"/>
      <c r="B26" s="1624"/>
      <c r="C26" s="1624"/>
      <c r="D26" s="1624"/>
      <c r="E26" s="1625"/>
      <c r="F26" s="179"/>
      <c r="G26" s="181"/>
      <c r="H26" s="174">
        <v>6</v>
      </c>
      <c r="I26" s="180"/>
      <c r="J26" s="1079">
        <f>H26*H25*H24*F24</f>
        <v>752.84999999999991</v>
      </c>
      <c r="K26" s="1055" t="s">
        <v>141</v>
      </c>
    </row>
    <row r="27" spans="1:11" ht="15.75" thickTop="1">
      <c r="A27" s="913"/>
      <c r="B27" s="1599"/>
      <c r="C27" s="1599"/>
      <c r="D27" s="1599"/>
      <c r="E27" s="1600"/>
      <c r="F27" s="179"/>
      <c r="G27" s="181"/>
      <c r="H27" s="179"/>
      <c r="I27" s="180"/>
      <c r="J27" s="179"/>
      <c r="K27" s="185"/>
    </row>
    <row r="28" spans="1:11" ht="15.75">
      <c r="A28" s="925" t="s">
        <v>1361</v>
      </c>
      <c r="B28" s="1245"/>
      <c r="C28" s="1245"/>
      <c r="D28" s="1245"/>
      <c r="E28" s="1246"/>
      <c r="F28" s="179"/>
      <c r="G28" s="180"/>
      <c r="H28" s="179"/>
      <c r="I28" s="180"/>
      <c r="J28" s="179"/>
      <c r="K28" s="1055"/>
    </row>
    <row r="29" spans="1:11" ht="30">
      <c r="A29" s="925" t="s">
        <v>1362</v>
      </c>
      <c r="B29" s="196"/>
      <c r="C29" s="196"/>
      <c r="D29" s="196"/>
      <c r="E29" s="181"/>
      <c r="F29" s="179"/>
      <c r="G29" s="181"/>
      <c r="H29" s="179"/>
      <c r="I29" s="180"/>
      <c r="J29" s="179"/>
      <c r="K29" s="1055"/>
    </row>
    <row r="30" spans="1:11">
      <c r="A30" s="925" t="s">
        <v>268</v>
      </c>
      <c r="B30" s="196"/>
      <c r="C30" s="196"/>
      <c r="D30" s="196"/>
      <c r="E30" s="181"/>
      <c r="F30" s="179">
        <v>1</v>
      </c>
      <c r="G30" s="181"/>
      <c r="H30" s="179">
        <v>4.05</v>
      </c>
      <c r="I30" s="180"/>
      <c r="J30" s="179"/>
      <c r="K30" s="1055"/>
    </row>
    <row r="31" spans="1:11" ht="15.75" thickBot="1">
      <c r="A31" s="913"/>
      <c r="B31" s="196"/>
      <c r="C31" s="196"/>
      <c r="D31" s="196"/>
      <c r="E31" s="181"/>
      <c r="F31" s="179"/>
      <c r="G31" s="181"/>
      <c r="H31" s="174">
        <v>2.6</v>
      </c>
      <c r="I31" s="180"/>
      <c r="J31" s="1079">
        <f>H31*H30*F30</f>
        <v>10.53</v>
      </c>
      <c r="K31" s="1055" t="s">
        <v>842</v>
      </c>
    </row>
    <row r="32" spans="1:11" ht="45.75" thickTop="1">
      <c r="A32" s="925" t="s">
        <v>1363</v>
      </c>
      <c r="B32" s="196"/>
      <c r="C32" s="196"/>
      <c r="D32" s="196"/>
      <c r="E32" s="181"/>
      <c r="F32" s="179"/>
      <c r="G32" s="181"/>
      <c r="H32" s="179"/>
      <c r="I32" s="180"/>
      <c r="J32" s="179"/>
      <c r="K32" s="1055"/>
    </row>
    <row r="33" spans="1:11">
      <c r="A33" s="925" t="s">
        <v>723</v>
      </c>
      <c r="B33" s="196"/>
      <c r="C33" s="196"/>
      <c r="D33" s="196"/>
      <c r="E33" s="181"/>
      <c r="F33" s="179">
        <v>1</v>
      </c>
      <c r="G33" s="181"/>
      <c r="H33" s="179">
        <v>3.95</v>
      </c>
      <c r="I33" s="180"/>
      <c r="J33" s="179"/>
      <c r="K33" s="1055"/>
    </row>
    <row r="34" spans="1:11">
      <c r="A34" s="913"/>
      <c r="B34" s="196"/>
      <c r="C34" s="196"/>
      <c r="D34" s="196"/>
      <c r="E34" s="181"/>
      <c r="F34" s="179"/>
      <c r="G34" s="181"/>
      <c r="H34" s="179">
        <v>2.5</v>
      </c>
      <c r="I34" s="180"/>
      <c r="J34" s="179"/>
      <c r="K34" s="1055"/>
    </row>
    <row r="35" spans="1:11" ht="15.75" thickBot="1">
      <c r="A35" s="913"/>
      <c r="B35" s="196"/>
      <c r="C35" s="196"/>
      <c r="D35" s="196"/>
      <c r="E35" s="181"/>
      <c r="F35" s="179"/>
      <c r="G35" s="181"/>
      <c r="H35" s="174">
        <v>0.25</v>
      </c>
      <c r="I35" s="180"/>
      <c r="J35" s="1073">
        <f>H35*H34*H33*F33</f>
        <v>2.46875</v>
      </c>
      <c r="K35" s="1055" t="s">
        <v>141</v>
      </c>
    </row>
    <row r="36" spans="1:11" ht="15.75" thickTop="1">
      <c r="A36" s="913"/>
      <c r="B36" s="196"/>
      <c r="C36" s="196"/>
      <c r="D36" s="196"/>
      <c r="E36" s="181"/>
      <c r="F36" s="179"/>
      <c r="G36" s="181"/>
      <c r="H36" s="179"/>
      <c r="I36" s="180"/>
      <c r="J36" s="179"/>
      <c r="K36" s="1055"/>
    </row>
    <row r="37" spans="1:11">
      <c r="A37" s="925" t="s">
        <v>994</v>
      </c>
      <c r="B37" s="196"/>
      <c r="C37" s="196"/>
      <c r="D37" s="196"/>
      <c r="E37" s="181"/>
      <c r="F37" s="179">
        <v>4</v>
      </c>
      <c r="G37" s="181"/>
      <c r="H37" s="179">
        <v>4.6500000000000004</v>
      </c>
      <c r="I37" s="180"/>
      <c r="J37" s="179"/>
      <c r="K37" s="1055"/>
    </row>
    <row r="38" spans="1:11">
      <c r="A38" s="913"/>
      <c r="B38" s="196"/>
      <c r="C38" s="196"/>
      <c r="D38" s="196"/>
      <c r="E38" s="181"/>
      <c r="F38" s="179"/>
      <c r="G38" s="181"/>
      <c r="H38" s="179">
        <v>2.5</v>
      </c>
      <c r="I38" s="180"/>
      <c r="J38" s="179"/>
      <c r="K38" s="1055"/>
    </row>
    <row r="39" spans="1:11">
      <c r="A39" s="913"/>
      <c r="B39" s="196"/>
      <c r="C39" s="196"/>
      <c r="D39" s="196"/>
      <c r="E39" s="181"/>
      <c r="F39" s="179"/>
      <c r="G39" s="181"/>
      <c r="H39" s="174">
        <v>0.25</v>
      </c>
      <c r="I39" s="180"/>
      <c r="J39" s="1080">
        <f>H39*H38*H37*F37</f>
        <v>11.625</v>
      </c>
      <c r="K39" s="1055" t="s">
        <v>141</v>
      </c>
    </row>
    <row r="40" spans="1:11">
      <c r="A40" s="913"/>
      <c r="B40" s="196"/>
      <c r="C40" s="196"/>
      <c r="D40" s="196"/>
      <c r="E40" s="181"/>
      <c r="F40" s="179"/>
      <c r="G40" s="181"/>
      <c r="H40" s="179"/>
      <c r="I40" s="180"/>
      <c r="J40" s="179"/>
      <c r="K40" s="1055"/>
    </row>
    <row r="41" spans="1:11">
      <c r="A41" s="913" t="s">
        <v>1364</v>
      </c>
      <c r="B41" s="196"/>
      <c r="C41" s="196"/>
      <c r="D41" s="196"/>
      <c r="E41" s="181"/>
      <c r="F41" s="179">
        <v>2</v>
      </c>
      <c r="G41" s="181"/>
      <c r="H41" s="179">
        <v>3.95</v>
      </c>
      <c r="I41" s="180"/>
      <c r="J41" s="179"/>
      <c r="K41" s="1055"/>
    </row>
    <row r="42" spans="1:11">
      <c r="A42" s="913"/>
      <c r="B42" s="196"/>
      <c r="C42" s="196"/>
      <c r="D42" s="196"/>
      <c r="E42" s="181"/>
      <c r="F42" s="179"/>
      <c r="G42" s="181"/>
      <c r="H42" s="179">
        <v>0.95</v>
      </c>
      <c r="I42" s="180"/>
      <c r="J42" s="179"/>
      <c r="K42" s="908"/>
    </row>
    <row r="43" spans="1:11">
      <c r="A43" s="913"/>
      <c r="B43" s="196"/>
      <c r="C43" s="196"/>
      <c r="D43" s="196"/>
      <c r="E43" s="181"/>
      <c r="F43" s="179"/>
      <c r="G43" s="181"/>
      <c r="H43" s="174">
        <v>0.25</v>
      </c>
      <c r="I43" s="180"/>
      <c r="J43" s="174">
        <f>H43*H42*H41*F41</f>
        <v>1.87625</v>
      </c>
      <c r="K43" s="908" t="s">
        <v>141</v>
      </c>
    </row>
    <row r="44" spans="1:11" ht="15.75" thickBot="1">
      <c r="A44" s="913" t="s">
        <v>1366</v>
      </c>
      <c r="B44" s="196"/>
      <c r="C44" s="196"/>
      <c r="D44" s="196"/>
      <c r="E44" s="181"/>
      <c r="F44" s="179"/>
      <c r="G44" s="181"/>
      <c r="H44" s="179"/>
      <c r="I44" s="180"/>
      <c r="J44" s="580">
        <f>J43+J39</f>
        <v>13.501250000000001</v>
      </c>
      <c r="K44" s="908" t="s">
        <v>141</v>
      </c>
    </row>
    <row r="45" spans="1:11" ht="15.75" thickTop="1">
      <c r="A45" s="913"/>
      <c r="B45" s="196"/>
      <c r="C45" s="196"/>
      <c r="D45" s="196"/>
      <c r="E45" s="181"/>
      <c r="F45" s="179"/>
      <c r="G45" s="181"/>
      <c r="H45" s="179"/>
      <c r="I45" s="180"/>
      <c r="J45" s="179"/>
      <c r="K45" s="908"/>
    </row>
    <row r="46" spans="1:11" ht="30">
      <c r="A46" s="925" t="s">
        <v>1365</v>
      </c>
      <c r="B46" s="196"/>
      <c r="C46" s="196"/>
      <c r="D46" s="196"/>
      <c r="E46" s="181"/>
      <c r="F46" s="179"/>
      <c r="G46" s="181"/>
      <c r="H46" s="179"/>
      <c r="I46" s="180"/>
      <c r="J46" s="179"/>
      <c r="K46" s="1055"/>
    </row>
    <row r="47" spans="1:11">
      <c r="A47" s="925" t="s">
        <v>723</v>
      </c>
      <c r="B47" s="196"/>
      <c r="C47" s="196"/>
      <c r="D47" s="196"/>
      <c r="E47" s="181"/>
      <c r="F47" s="179">
        <v>2</v>
      </c>
      <c r="G47" s="181"/>
      <c r="H47" s="179">
        <v>6.45</v>
      </c>
      <c r="I47" s="180"/>
      <c r="J47" s="179"/>
      <c r="K47" s="1055"/>
    </row>
    <row r="48" spans="1:11" ht="15.75" thickBot="1">
      <c r="A48" s="913"/>
      <c r="B48" s="196"/>
      <c r="C48" s="196"/>
      <c r="D48" s="196"/>
      <c r="E48" s="181"/>
      <c r="F48" s="179"/>
      <c r="G48" s="181"/>
      <c r="H48" s="174">
        <v>0.25</v>
      </c>
      <c r="I48" s="180"/>
      <c r="J48" s="187">
        <f>H48*H47*F47</f>
        <v>3.2250000000000001</v>
      </c>
      <c r="K48" s="908" t="s">
        <v>842</v>
      </c>
    </row>
    <row r="49" spans="1:11" ht="15.75" thickTop="1">
      <c r="A49" s="913"/>
      <c r="B49" s="196"/>
      <c r="C49" s="196"/>
      <c r="D49" s="196"/>
      <c r="E49" s="181"/>
      <c r="F49" s="179"/>
      <c r="G49" s="181"/>
      <c r="H49" s="179"/>
      <c r="I49" s="180"/>
      <c r="J49" s="185"/>
      <c r="K49" s="908"/>
    </row>
    <row r="50" spans="1:11">
      <c r="A50" s="925" t="s">
        <v>994</v>
      </c>
      <c r="B50" s="196"/>
      <c r="C50" s="196"/>
      <c r="D50" s="196"/>
      <c r="E50" s="181"/>
      <c r="F50" s="179">
        <v>8</v>
      </c>
      <c r="G50" s="181"/>
      <c r="H50" s="179">
        <v>4.6500000000000004</v>
      </c>
      <c r="I50" s="180"/>
      <c r="J50" s="179"/>
      <c r="K50" s="1055"/>
    </row>
    <row r="51" spans="1:11">
      <c r="A51" s="913"/>
      <c r="B51" s="196"/>
      <c r="C51" s="196"/>
      <c r="D51" s="196"/>
      <c r="E51" s="181"/>
      <c r="F51" s="179"/>
      <c r="G51" s="181"/>
      <c r="H51" s="174">
        <v>2.5</v>
      </c>
      <c r="I51" s="180"/>
      <c r="J51" s="174">
        <f>H51*H50*F50</f>
        <v>93</v>
      </c>
      <c r="K51" s="908" t="s">
        <v>842</v>
      </c>
    </row>
    <row r="52" spans="1:11">
      <c r="A52" s="913"/>
      <c r="B52" s="196"/>
      <c r="C52" s="196"/>
      <c r="D52" s="196"/>
      <c r="E52" s="181"/>
      <c r="F52" s="179"/>
      <c r="G52" s="181"/>
      <c r="H52" s="179"/>
      <c r="I52" s="180"/>
      <c r="J52" s="179"/>
      <c r="K52" s="908"/>
    </row>
    <row r="53" spans="1:11">
      <c r="A53" s="913" t="s">
        <v>1364</v>
      </c>
      <c r="B53" s="196"/>
      <c r="C53" s="196"/>
      <c r="D53" s="196"/>
      <c r="E53" s="181"/>
      <c r="F53" s="179">
        <v>4</v>
      </c>
      <c r="G53" s="181"/>
      <c r="H53" s="179">
        <v>3.95</v>
      </c>
      <c r="I53" s="180"/>
      <c r="J53" s="179"/>
      <c r="K53" s="1055"/>
    </row>
    <row r="54" spans="1:11">
      <c r="A54" s="913"/>
      <c r="B54" s="196"/>
      <c r="C54" s="196"/>
      <c r="D54" s="196"/>
      <c r="E54" s="181"/>
      <c r="F54" s="179"/>
      <c r="G54" s="181"/>
      <c r="H54" s="174">
        <v>0.95</v>
      </c>
      <c r="I54" s="180"/>
      <c r="J54" s="174">
        <f>H54*H53*F53</f>
        <v>15.01</v>
      </c>
      <c r="K54" s="908" t="s">
        <v>842</v>
      </c>
    </row>
    <row r="55" spans="1:11" ht="15.75" thickBot="1">
      <c r="A55" s="907" t="s">
        <v>1366</v>
      </c>
      <c r="B55" s="180"/>
      <c r="C55" s="180"/>
      <c r="D55" s="180"/>
      <c r="E55" s="181"/>
      <c r="F55" s="179"/>
      <c r="G55" s="181"/>
      <c r="H55" s="179"/>
      <c r="I55" s="180"/>
      <c r="J55" s="1134">
        <f>J54+J51</f>
        <v>108.01</v>
      </c>
      <c r="K55" s="948" t="s">
        <v>842</v>
      </c>
    </row>
    <row r="56" spans="1:11" ht="15.75" thickTop="1">
      <c r="A56" s="907"/>
      <c r="B56" s="180"/>
      <c r="C56" s="180"/>
      <c r="D56" s="180"/>
      <c r="E56" s="181"/>
      <c r="F56" s="179"/>
      <c r="G56" s="181"/>
      <c r="H56" s="179"/>
      <c r="I56" s="180"/>
      <c r="J56" s="179"/>
      <c r="K56" s="948"/>
    </row>
    <row r="57" spans="1:11" ht="30.75" thickBot="1">
      <c r="A57" s="925" t="s">
        <v>1367</v>
      </c>
      <c r="B57" s="196"/>
      <c r="C57" s="196"/>
      <c r="D57" s="196"/>
      <c r="E57" s="181"/>
      <c r="F57" s="179">
        <v>1</v>
      </c>
      <c r="G57" s="181"/>
      <c r="H57" s="174">
        <v>819.02</v>
      </c>
      <c r="I57" s="180"/>
      <c r="J57" s="1073">
        <f>H57</f>
        <v>819.02</v>
      </c>
      <c r="K57" s="1055" t="s">
        <v>103</v>
      </c>
    </row>
    <row r="58" spans="1:11" ht="16.5" thickTop="1" thickBot="1">
      <c r="A58" s="907" t="s">
        <v>1368</v>
      </c>
      <c r="B58" s="180"/>
      <c r="C58" s="180"/>
      <c r="D58" s="180"/>
      <c r="E58" s="181"/>
      <c r="F58" s="179">
        <v>1</v>
      </c>
      <c r="G58" s="181"/>
      <c r="H58" s="194">
        <v>698.38300000000004</v>
      </c>
      <c r="I58" s="180"/>
      <c r="J58" s="478">
        <f>H58</f>
        <v>698.38300000000004</v>
      </c>
      <c r="K58" s="948" t="s">
        <v>103</v>
      </c>
    </row>
    <row r="59" spans="1:11" ht="15.75" thickTop="1">
      <c r="A59" s="907" t="s">
        <v>1369</v>
      </c>
      <c r="B59" s="180"/>
      <c r="C59" s="180"/>
      <c r="D59" s="180"/>
      <c r="E59" s="181"/>
      <c r="F59" s="179"/>
      <c r="G59" s="181"/>
      <c r="H59" s="179"/>
      <c r="I59" s="180"/>
      <c r="J59" s="179"/>
      <c r="K59" s="948"/>
    </row>
    <row r="60" spans="1:11" ht="15.75" thickBot="1">
      <c r="A60" s="907" t="s">
        <v>1370</v>
      </c>
      <c r="B60" s="180"/>
      <c r="C60" s="180"/>
      <c r="D60" s="180"/>
      <c r="E60" s="181"/>
      <c r="F60" s="179">
        <v>2</v>
      </c>
      <c r="G60" s="181"/>
      <c r="H60" s="174">
        <v>7.5</v>
      </c>
      <c r="I60" s="180"/>
      <c r="J60" s="187">
        <f>H60*F60</f>
        <v>15</v>
      </c>
      <c r="K60" s="948" t="s">
        <v>484</v>
      </c>
    </row>
    <row r="61" spans="1:11" ht="15.75" thickTop="1">
      <c r="A61" s="907"/>
      <c r="B61" s="180"/>
      <c r="C61" s="180"/>
      <c r="D61" s="180"/>
      <c r="E61" s="181"/>
      <c r="F61" s="179"/>
      <c r="G61" s="181"/>
      <c r="H61" s="179"/>
      <c r="I61" s="180"/>
      <c r="J61" s="179"/>
      <c r="K61" s="948"/>
    </row>
    <row r="62" spans="1:11">
      <c r="A62" s="907"/>
      <c r="B62" s="180"/>
      <c r="C62" s="180"/>
      <c r="D62" s="180"/>
      <c r="E62" s="181"/>
      <c r="F62" s="179"/>
      <c r="G62" s="181"/>
      <c r="H62" s="179"/>
      <c r="I62" s="180"/>
      <c r="J62" s="179"/>
      <c r="K62" s="948"/>
    </row>
    <row r="63" spans="1:11" ht="15.75" thickBot="1">
      <c r="A63" s="928"/>
      <c r="B63" s="204"/>
      <c r="C63" s="204"/>
      <c r="D63" s="204"/>
      <c r="E63" s="195"/>
      <c r="F63" s="199"/>
      <c r="G63" s="195"/>
      <c r="H63" s="199"/>
      <c r="I63" s="204"/>
      <c r="J63" s="199"/>
      <c r="K63" s="1056"/>
    </row>
    <row r="64" spans="1:11" ht="15.75" thickTop="1">
      <c r="A64" s="907"/>
      <c r="B64" s="180"/>
      <c r="C64" s="180"/>
      <c r="D64" s="180"/>
      <c r="E64" s="180"/>
      <c r="F64" s="180"/>
      <c r="G64" s="180"/>
      <c r="H64" s="180"/>
      <c r="I64" s="180"/>
      <c r="J64" s="180"/>
      <c r="K64" s="908"/>
    </row>
    <row r="65" spans="1:11">
      <c r="A65" s="930"/>
      <c r="B65" s="189" t="s">
        <v>10</v>
      </c>
      <c r="C65" s="189" t="s">
        <v>18</v>
      </c>
      <c r="D65" s="190" t="s">
        <v>19</v>
      </c>
      <c r="E65" s="191"/>
      <c r="F65" s="191"/>
      <c r="G65" s="191"/>
      <c r="H65" s="191"/>
      <c r="I65" s="191"/>
      <c r="J65" s="191"/>
      <c r="K65" s="917"/>
    </row>
    <row r="66" spans="1:11" ht="26.25" customHeight="1">
      <c r="A66" s="916" t="s">
        <v>15</v>
      </c>
      <c r="B66" s="188"/>
      <c r="C66" s="188"/>
      <c r="D66" s="194"/>
      <c r="E66" s="191"/>
      <c r="F66" s="191"/>
      <c r="G66" s="191"/>
      <c r="H66" s="191"/>
      <c r="I66" s="191"/>
      <c r="J66" s="191"/>
      <c r="K66" s="917"/>
    </row>
    <row r="67" spans="1:11" ht="26.25" customHeight="1">
      <c r="A67" s="916" t="s">
        <v>16</v>
      </c>
      <c r="B67" s="188"/>
      <c r="C67" s="188"/>
      <c r="D67" s="194"/>
      <c r="E67" s="191"/>
      <c r="F67" s="191"/>
      <c r="G67" s="191"/>
      <c r="H67" s="191"/>
      <c r="I67" s="191"/>
      <c r="J67" s="191"/>
      <c r="K67" s="917"/>
    </row>
    <row r="68" spans="1:11" ht="27" customHeight="1" thickBot="1">
      <c r="A68" s="918" t="s">
        <v>553</v>
      </c>
      <c r="B68" s="919"/>
      <c r="C68" s="919"/>
      <c r="D68" s="920"/>
      <c r="E68" s="921"/>
      <c r="F68" s="921"/>
      <c r="G68" s="921"/>
      <c r="H68" s="921"/>
      <c r="I68" s="921"/>
      <c r="J68" s="921"/>
      <c r="K68" s="922"/>
    </row>
  </sheetData>
  <mergeCells count="15">
    <mergeCell ref="H2:I2"/>
    <mergeCell ref="A24:E24"/>
    <mergeCell ref="B20:E20"/>
    <mergeCell ref="B21:E21"/>
    <mergeCell ref="A11:E11"/>
    <mergeCell ref="A12:E12"/>
    <mergeCell ref="A13:E13"/>
    <mergeCell ref="B15:E15"/>
    <mergeCell ref="A17:E17"/>
    <mergeCell ref="A18:E18"/>
    <mergeCell ref="B26:E26"/>
    <mergeCell ref="B27:E27"/>
    <mergeCell ref="A1:B1"/>
    <mergeCell ref="C1:E2"/>
    <mergeCell ref="F2:G2"/>
  </mergeCells>
  <pageMargins left="0.7" right="0.7" top="0.75" bottom="0.75" header="0.3" footer="0.3"/>
  <pageSetup paperSize="9"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2"/>
  <sheetViews>
    <sheetView view="pageBreakPreview" topLeftCell="A10" zoomScale="93" zoomScaleSheetLayoutView="93" workbookViewId="0">
      <selection activeCell="L27" sqref="L27"/>
    </sheetView>
  </sheetViews>
  <sheetFormatPr defaultRowHeight="15"/>
  <cols>
    <col min="1" max="1" width="17.140625" style="168" customWidth="1"/>
    <col min="2" max="4" width="9.140625" style="168"/>
    <col min="5" max="5" width="11.5703125" style="168" customWidth="1"/>
    <col min="6" max="6" width="9.140625" style="168"/>
    <col min="7" max="7" width="13.85546875" style="168" bestFit="1" customWidth="1"/>
    <col min="8" max="8" width="9.140625" style="168"/>
    <col min="9" max="9" width="10.42578125" style="168" bestFit="1" customWidth="1"/>
    <col min="10" max="11" width="10.42578125" style="168" customWidth="1"/>
    <col min="12" max="16384" width="9.140625" style="168"/>
  </cols>
  <sheetData>
    <row r="1" spans="1:11" s="203" customFormat="1" ht="15" customHeight="1">
      <c r="A1" s="1605" t="s">
        <v>0</v>
      </c>
      <c r="B1" s="1606"/>
      <c r="C1" s="1607" t="s">
        <v>4</v>
      </c>
      <c r="D1" s="1608"/>
      <c r="E1" s="1609"/>
      <c r="F1" s="897" t="s">
        <v>7</v>
      </c>
      <c r="G1" s="898"/>
      <c r="H1" s="899" t="s">
        <v>8</v>
      </c>
      <c r="I1" s="1052" t="s">
        <v>61</v>
      </c>
      <c r="J1" s="540"/>
      <c r="K1" s="540"/>
    </row>
    <row r="2" spans="1:11" ht="15" customHeight="1">
      <c r="A2" s="937" t="s">
        <v>552</v>
      </c>
      <c r="B2" s="169"/>
      <c r="C2" s="1583"/>
      <c r="D2" s="1584"/>
      <c r="E2" s="1585"/>
      <c r="F2" s="1595">
        <v>18</v>
      </c>
      <c r="G2" s="1596"/>
      <c r="H2" s="1104"/>
      <c r="I2" s="1053">
        <v>1</v>
      </c>
      <c r="J2" s="1105"/>
      <c r="K2" s="1105"/>
    </row>
    <row r="3" spans="1:11">
      <c r="A3" s="903" t="s">
        <v>2</v>
      </c>
      <c r="B3" s="171"/>
      <c r="C3" s="167" t="s">
        <v>5</v>
      </c>
      <c r="D3" s="172"/>
      <c r="E3" s="166"/>
      <c r="F3" s="165" t="s">
        <v>9</v>
      </c>
      <c r="G3" s="172"/>
      <c r="H3" s="172"/>
      <c r="I3" s="904"/>
      <c r="J3" s="180"/>
      <c r="K3" s="180"/>
    </row>
    <row r="4" spans="1:11">
      <c r="A4" s="905" t="s">
        <v>490</v>
      </c>
      <c r="B4" s="173"/>
      <c r="C4" s="174"/>
      <c r="D4" s="456" t="s">
        <v>867</v>
      </c>
      <c r="E4" s="175"/>
      <c r="F4" s="176" t="s">
        <v>1204</v>
      </c>
      <c r="G4" s="177"/>
      <c r="H4" s="177"/>
      <c r="I4" s="906"/>
      <c r="J4" s="180"/>
      <c r="K4" s="180"/>
    </row>
    <row r="5" spans="1:11">
      <c r="A5" s="903" t="s">
        <v>491</v>
      </c>
      <c r="B5" s="282"/>
      <c r="C5" s="165" t="s">
        <v>6</v>
      </c>
      <c r="D5" s="172" t="s">
        <v>1186</v>
      </c>
      <c r="E5" s="166"/>
      <c r="F5" s="165" t="s">
        <v>10</v>
      </c>
      <c r="G5" s="172"/>
      <c r="H5" s="172"/>
      <c r="I5" s="904"/>
      <c r="J5" s="180"/>
      <c r="K5" s="180"/>
    </row>
    <row r="6" spans="1:11">
      <c r="A6" s="905">
        <v>10.1</v>
      </c>
      <c r="B6" s="173"/>
      <c r="C6" s="174"/>
      <c r="D6" s="177"/>
      <c r="E6" s="175"/>
      <c r="F6" s="178"/>
      <c r="G6" s="177"/>
      <c r="H6" s="177"/>
      <c r="I6" s="906"/>
      <c r="J6" s="180"/>
      <c r="K6" s="180"/>
    </row>
    <row r="7" spans="1:11">
      <c r="A7" s="938" t="s">
        <v>11</v>
      </c>
      <c r="B7" s="180"/>
      <c r="C7" s="180"/>
      <c r="D7" s="180"/>
      <c r="E7" s="180"/>
      <c r="F7" s="180"/>
      <c r="G7" s="180"/>
      <c r="H7" s="180"/>
      <c r="I7" s="908"/>
      <c r="J7" s="180"/>
      <c r="K7" s="180"/>
    </row>
    <row r="8" spans="1:11">
      <c r="A8" s="947"/>
      <c r="B8" s="183"/>
      <c r="C8" s="172"/>
      <c r="D8" s="172"/>
      <c r="E8" s="166"/>
      <c r="F8" s="184" t="s">
        <v>12</v>
      </c>
      <c r="G8" s="166"/>
      <c r="H8" s="184" t="s">
        <v>13</v>
      </c>
      <c r="I8" s="1054" t="s">
        <v>14</v>
      </c>
      <c r="J8" s="180"/>
      <c r="K8" s="180"/>
    </row>
    <row r="9" spans="1:11" ht="15.75">
      <c r="A9" s="132" t="s">
        <v>1194</v>
      </c>
      <c r="B9" s="510"/>
      <c r="C9" s="510"/>
      <c r="D9" s="510"/>
      <c r="E9" s="1057"/>
      <c r="F9" s="179"/>
      <c r="G9" s="181"/>
      <c r="H9" s="179"/>
      <c r="I9" s="1055"/>
      <c r="J9" s="180"/>
      <c r="K9" s="180"/>
    </row>
    <row r="10" spans="1:11" ht="15.75">
      <c r="A10" s="132" t="s">
        <v>1195</v>
      </c>
      <c r="B10" s="510"/>
      <c r="C10" s="510"/>
      <c r="D10" s="510"/>
      <c r="E10" s="1057"/>
      <c r="F10" s="179"/>
      <c r="G10" s="181"/>
      <c r="H10" s="179"/>
      <c r="I10" s="1055"/>
      <c r="J10" s="180"/>
      <c r="K10" s="180"/>
    </row>
    <row r="11" spans="1:11" ht="15.75">
      <c r="A11" s="132" t="s">
        <v>1205</v>
      </c>
      <c r="B11" s="510"/>
      <c r="C11" s="510"/>
      <c r="D11" s="510"/>
      <c r="E11" s="1057"/>
      <c r="F11" s="179">
        <v>1</v>
      </c>
      <c r="G11" s="181"/>
      <c r="H11" s="179">
        <v>31.8</v>
      </c>
      <c r="I11" s="1055"/>
      <c r="J11" s="180"/>
      <c r="K11" s="180"/>
    </row>
    <row r="12" spans="1:11">
      <c r="A12" s="925"/>
      <c r="B12" s="198"/>
      <c r="C12" s="198"/>
      <c r="D12" s="198"/>
      <c r="E12" s="181"/>
      <c r="F12" s="179"/>
      <c r="G12" s="181"/>
      <c r="H12" s="179">
        <v>16.5</v>
      </c>
      <c r="I12" s="908"/>
      <c r="J12" s="180"/>
      <c r="K12" s="180"/>
    </row>
    <row r="13" spans="1:11" ht="15.75" thickBot="1">
      <c r="A13" s="925"/>
      <c r="B13" s="1599"/>
      <c r="C13" s="1599"/>
      <c r="D13" s="1599"/>
      <c r="E13" s="1600"/>
      <c r="F13" s="179"/>
      <c r="G13" s="181"/>
      <c r="H13" s="174">
        <v>3.95</v>
      </c>
      <c r="I13" s="1058">
        <f>F11*H11*H12*H13</f>
        <v>2072.5650000000001</v>
      </c>
      <c r="J13" s="180"/>
      <c r="K13" s="180"/>
    </row>
    <row r="14" spans="1:11" ht="15.75" thickTop="1">
      <c r="A14" s="925"/>
      <c r="B14" s="198"/>
      <c r="C14" s="198"/>
      <c r="D14" s="198"/>
      <c r="E14" s="181"/>
      <c r="F14" s="179"/>
      <c r="G14" s="180"/>
      <c r="H14" s="179"/>
      <c r="I14" s="1055"/>
      <c r="J14" s="180"/>
      <c r="K14" s="180"/>
    </row>
    <row r="15" spans="1:11" ht="15.75" thickBot="1">
      <c r="A15" s="925"/>
      <c r="B15" s="1599"/>
      <c r="C15" s="1599"/>
      <c r="D15" s="1599"/>
      <c r="E15" s="1600"/>
      <c r="F15" s="179"/>
      <c r="G15" s="181"/>
      <c r="H15" s="179"/>
      <c r="I15" s="199">
        <f>I13</f>
        <v>2072.5650000000001</v>
      </c>
      <c r="J15" s="186"/>
      <c r="K15" s="186"/>
    </row>
    <row r="16" spans="1:11" ht="16.5" thickTop="1">
      <c r="A16" s="1629" t="s">
        <v>1206</v>
      </c>
      <c r="B16" s="1408"/>
      <c r="C16" s="1408"/>
      <c r="D16" s="1408"/>
      <c r="E16" s="1409"/>
      <c r="F16" s="179">
        <v>1</v>
      </c>
      <c r="G16" s="181"/>
      <c r="H16" s="179">
        <v>24.8</v>
      </c>
      <c r="I16" s="908"/>
      <c r="J16" s="180"/>
      <c r="K16" s="180"/>
    </row>
    <row r="17" spans="1:11" ht="15.75">
      <c r="A17" s="1626"/>
      <c r="B17" s="1627"/>
      <c r="C17" s="1627"/>
      <c r="D17" s="1627"/>
      <c r="E17" s="1628"/>
      <c r="F17" s="179"/>
      <c r="G17" s="181"/>
      <c r="H17" s="179">
        <v>9.5</v>
      </c>
      <c r="I17" s="908"/>
      <c r="J17" s="180"/>
      <c r="K17" s="180"/>
    </row>
    <row r="18" spans="1:11" ht="15.75" thickBot="1">
      <c r="A18" s="1622"/>
      <c r="B18" s="1623"/>
      <c r="C18" s="1623"/>
      <c r="D18" s="1623"/>
      <c r="E18" s="1630"/>
      <c r="F18" s="179"/>
      <c r="G18" s="181"/>
      <c r="H18" s="174">
        <v>3.95</v>
      </c>
      <c r="I18" s="929">
        <f>H18*H17*H16</f>
        <v>930.62</v>
      </c>
      <c r="J18" s="180"/>
      <c r="K18" s="180"/>
    </row>
    <row r="19" spans="1:11" ht="15.75" thickTop="1">
      <c r="A19" s="1048"/>
      <c r="B19" s="1049"/>
      <c r="C19" s="1049"/>
      <c r="D19" s="1049"/>
      <c r="E19" s="1051"/>
      <c r="F19" s="179"/>
      <c r="G19" s="180"/>
      <c r="H19" s="179"/>
      <c r="I19" s="1055"/>
      <c r="J19" s="180"/>
      <c r="K19" s="180"/>
    </row>
    <row r="20" spans="1:11" ht="15.75" thickBot="1">
      <c r="A20" s="925"/>
      <c r="B20" s="1599" t="s">
        <v>1207</v>
      </c>
      <c r="C20" s="1599"/>
      <c r="D20" s="1599"/>
      <c r="E20" s="1600"/>
      <c r="F20" s="179"/>
      <c r="G20" s="180"/>
      <c r="H20" s="179"/>
      <c r="I20" s="187">
        <v>0</v>
      </c>
      <c r="J20" s="186"/>
      <c r="K20" s="186"/>
    </row>
    <row r="21" spans="1:11" ht="15.75" thickTop="1">
      <c r="A21" s="925"/>
      <c r="B21" s="198"/>
      <c r="C21" s="198"/>
      <c r="D21" s="198"/>
      <c r="E21" s="181"/>
      <c r="F21" s="179"/>
      <c r="G21" s="180"/>
      <c r="H21" s="179"/>
      <c r="I21" s="1055"/>
      <c r="J21" s="180"/>
      <c r="K21" s="180"/>
    </row>
    <row r="22" spans="1:11" ht="15.75">
      <c r="A22" s="1629"/>
      <c r="B22" s="1408"/>
      <c r="C22" s="1408"/>
      <c r="D22" s="1408"/>
      <c r="E22" s="1409"/>
      <c r="F22" s="179"/>
      <c r="G22" s="180"/>
      <c r="H22" s="179"/>
      <c r="I22" s="1055"/>
      <c r="J22" s="180"/>
      <c r="K22" s="180"/>
    </row>
    <row r="23" spans="1:11" ht="15.75">
      <c r="A23" s="1629"/>
      <c r="B23" s="1408"/>
      <c r="C23" s="1408"/>
      <c r="D23" s="1408"/>
      <c r="E23" s="1409"/>
      <c r="F23" s="179"/>
      <c r="G23" s="180"/>
      <c r="H23" s="179"/>
      <c r="I23" s="1055"/>
      <c r="J23" s="180"/>
      <c r="K23" s="180"/>
    </row>
    <row r="24" spans="1:11" ht="15.75">
      <c r="A24" s="1050"/>
      <c r="B24" s="1046"/>
      <c r="C24" s="1046"/>
      <c r="D24" s="1046"/>
      <c r="E24" s="1047"/>
      <c r="F24" s="179"/>
      <c r="G24" s="180"/>
      <c r="H24" s="179"/>
      <c r="I24" s="1055"/>
      <c r="J24" s="180"/>
      <c r="K24" s="180"/>
    </row>
    <row r="25" spans="1:11">
      <c r="A25" s="925"/>
      <c r="B25" s="1599"/>
      <c r="C25" s="1599"/>
      <c r="D25" s="1599"/>
      <c r="E25" s="1600"/>
      <c r="F25" s="179"/>
      <c r="G25" s="180"/>
      <c r="H25" s="179"/>
      <c r="I25" s="1055"/>
      <c r="J25" s="180"/>
      <c r="K25" s="180"/>
    </row>
    <row r="26" spans="1:11">
      <c r="A26" s="913"/>
      <c r="B26" s="1599"/>
      <c r="C26" s="1599"/>
      <c r="D26" s="1599"/>
      <c r="E26" s="1600"/>
      <c r="F26" s="179"/>
      <c r="G26" s="180"/>
      <c r="H26" s="179"/>
      <c r="I26" s="185"/>
      <c r="J26" s="186"/>
      <c r="K26" s="186"/>
    </row>
    <row r="27" spans="1:11">
      <c r="A27" s="913"/>
      <c r="B27" s="196"/>
      <c r="C27" s="196"/>
      <c r="D27" s="196"/>
      <c r="E27" s="181"/>
      <c r="F27" s="179"/>
      <c r="G27" s="181"/>
      <c r="H27" s="179"/>
      <c r="I27" s="1055"/>
      <c r="J27" s="180"/>
      <c r="K27" s="180"/>
    </row>
    <row r="28" spans="1:11" ht="15.75">
      <c r="A28" s="1629"/>
      <c r="B28" s="1408"/>
      <c r="C28" s="1408"/>
      <c r="D28" s="1408"/>
      <c r="E28" s="1409"/>
      <c r="F28" s="179"/>
      <c r="G28" s="181"/>
      <c r="H28" s="179"/>
      <c r="I28" s="1055"/>
      <c r="J28" s="180"/>
      <c r="K28" s="180"/>
    </row>
    <row r="29" spans="1:11" ht="15.75">
      <c r="A29" s="1626"/>
      <c r="B29" s="1627"/>
      <c r="C29" s="1627"/>
      <c r="D29" s="1627"/>
      <c r="E29" s="1628"/>
      <c r="F29" s="179"/>
      <c r="G29" s="181"/>
      <c r="H29" s="179"/>
      <c r="I29" s="1055"/>
      <c r="J29" s="180"/>
      <c r="K29" s="180"/>
    </row>
    <row r="30" spans="1:11">
      <c r="A30" s="913"/>
      <c r="B30" s="196"/>
      <c r="C30" s="196"/>
      <c r="D30" s="196"/>
      <c r="E30" s="181"/>
      <c r="F30" s="179"/>
      <c r="G30" s="181"/>
      <c r="H30" s="179"/>
      <c r="I30" s="1055"/>
      <c r="J30" s="180"/>
      <c r="K30" s="180"/>
    </row>
    <row r="31" spans="1:11">
      <c r="A31" s="925"/>
      <c r="B31" s="1624"/>
      <c r="C31" s="1624"/>
      <c r="D31" s="1624"/>
      <c r="E31" s="1625"/>
      <c r="F31" s="179"/>
      <c r="G31" s="181"/>
      <c r="H31" s="179"/>
      <c r="I31" s="1055"/>
      <c r="J31" s="180"/>
      <c r="K31" s="180"/>
    </row>
    <row r="32" spans="1:11">
      <c r="A32" s="913"/>
      <c r="B32" s="1599"/>
      <c r="C32" s="1599"/>
      <c r="D32" s="1599"/>
      <c r="E32" s="1600"/>
      <c r="F32" s="179"/>
      <c r="G32" s="181"/>
      <c r="H32" s="179"/>
      <c r="I32" s="185"/>
      <c r="J32" s="186"/>
      <c r="K32" s="186"/>
    </row>
    <row r="33" spans="1:11">
      <c r="A33" s="913"/>
      <c r="B33" s="1599"/>
      <c r="C33" s="1599"/>
      <c r="D33" s="1599"/>
      <c r="E33" s="1600"/>
      <c r="F33" s="179"/>
      <c r="G33" s="181"/>
      <c r="H33" s="179"/>
      <c r="I33" s="1055"/>
      <c r="J33" s="180"/>
      <c r="K33" s="180"/>
    </row>
    <row r="34" spans="1:11">
      <c r="A34" s="913"/>
      <c r="B34" s="196"/>
      <c r="C34" s="196"/>
      <c r="D34" s="196"/>
      <c r="E34" s="181"/>
      <c r="F34" s="179"/>
      <c r="G34" s="181"/>
      <c r="H34" s="179"/>
      <c r="I34" s="1055"/>
      <c r="J34" s="180"/>
      <c r="K34" s="180"/>
    </row>
    <row r="35" spans="1:11">
      <c r="A35" s="913"/>
      <c r="B35" s="196"/>
      <c r="C35" s="196"/>
      <c r="D35" s="196"/>
      <c r="E35" s="181"/>
      <c r="F35" s="179"/>
      <c r="G35" s="181"/>
      <c r="H35" s="179"/>
      <c r="I35" s="1055"/>
      <c r="J35" s="180"/>
      <c r="K35" s="180"/>
    </row>
    <row r="36" spans="1:11">
      <c r="A36" s="913"/>
      <c r="B36" s="196"/>
      <c r="C36" s="196"/>
      <c r="D36" s="196"/>
      <c r="E36" s="181"/>
      <c r="F36" s="179"/>
      <c r="G36" s="181"/>
      <c r="H36" s="179"/>
      <c r="I36" s="1055"/>
      <c r="J36" s="180"/>
      <c r="K36" s="180"/>
    </row>
    <row r="37" spans="1:11">
      <c r="A37" s="913"/>
      <c r="B37" s="196"/>
      <c r="C37" s="196"/>
      <c r="D37" s="196"/>
      <c r="E37" s="181"/>
      <c r="F37" s="179"/>
      <c r="G37" s="181"/>
      <c r="H37" s="179"/>
      <c r="I37" s="1055"/>
      <c r="J37" s="180"/>
      <c r="K37" s="180"/>
    </row>
    <row r="38" spans="1:11">
      <c r="A38" s="913"/>
      <c r="B38" s="196"/>
      <c r="C38" s="196"/>
      <c r="D38" s="196"/>
      <c r="E38" s="181"/>
      <c r="F38" s="179"/>
      <c r="G38" s="181"/>
      <c r="H38" s="179"/>
      <c r="I38" s="1055"/>
      <c r="J38" s="180"/>
      <c r="K38" s="180"/>
    </row>
    <row r="39" spans="1:11">
      <c r="A39" s="913"/>
      <c r="B39" s="196"/>
      <c r="C39" s="196"/>
      <c r="D39" s="196"/>
      <c r="E39" s="181"/>
      <c r="F39" s="179"/>
      <c r="G39" s="181"/>
      <c r="H39" s="179"/>
      <c r="I39" s="1055"/>
      <c r="J39" s="180"/>
      <c r="K39" s="180"/>
    </row>
    <row r="40" spans="1:11">
      <c r="A40" s="913"/>
      <c r="B40" s="196"/>
      <c r="C40" s="196"/>
      <c r="D40" s="196"/>
      <c r="E40" s="181"/>
      <c r="F40" s="179"/>
      <c r="G40" s="181"/>
      <c r="H40" s="179"/>
      <c r="I40" s="1055"/>
      <c r="J40" s="180"/>
      <c r="K40" s="180"/>
    </row>
    <row r="41" spans="1:11">
      <c r="A41" s="913"/>
      <c r="B41" s="196"/>
      <c r="C41" s="196"/>
      <c r="D41" s="196"/>
      <c r="E41" s="181"/>
      <c r="F41" s="179"/>
      <c r="G41" s="181"/>
      <c r="H41" s="179"/>
      <c r="I41" s="1055"/>
      <c r="J41" s="180"/>
      <c r="K41" s="180"/>
    </row>
    <row r="42" spans="1:11">
      <c r="A42" s="913"/>
      <c r="B42" s="196"/>
      <c r="C42" s="196"/>
      <c r="D42" s="196"/>
      <c r="E42" s="181"/>
      <c r="F42" s="179"/>
      <c r="G42" s="181"/>
      <c r="H42" s="179"/>
      <c r="I42" s="1055"/>
      <c r="J42" s="180"/>
      <c r="K42" s="180"/>
    </row>
    <row r="43" spans="1:11">
      <c r="A43" s="913"/>
      <c r="B43" s="196"/>
      <c r="C43" s="196"/>
      <c r="D43" s="196"/>
      <c r="E43" s="181"/>
      <c r="F43" s="179"/>
      <c r="G43" s="181"/>
      <c r="H43" s="179"/>
      <c r="I43" s="1055"/>
      <c r="J43" s="180"/>
      <c r="K43" s="180"/>
    </row>
    <row r="44" spans="1:11">
      <c r="A44" s="913"/>
      <c r="B44" s="196"/>
      <c r="C44" s="196"/>
      <c r="D44" s="196"/>
      <c r="E44" s="181"/>
      <c r="F44" s="179"/>
      <c r="G44" s="181"/>
      <c r="H44" s="179"/>
      <c r="I44" s="1055"/>
      <c r="J44" s="180"/>
      <c r="K44" s="180"/>
    </row>
    <row r="45" spans="1:11">
      <c r="A45" s="913"/>
      <c r="B45" s="196"/>
      <c r="C45" s="196"/>
      <c r="D45" s="196"/>
      <c r="E45" s="181"/>
      <c r="F45" s="179"/>
      <c r="G45" s="181"/>
      <c r="H45" s="179"/>
      <c r="I45" s="1055"/>
      <c r="J45" s="180"/>
      <c r="K45" s="180"/>
    </row>
    <row r="46" spans="1:11">
      <c r="A46" s="907"/>
      <c r="B46" s="180"/>
      <c r="C46" s="180"/>
      <c r="D46" s="180"/>
      <c r="E46" s="181"/>
      <c r="F46" s="179"/>
      <c r="G46" s="181"/>
      <c r="H46" s="179"/>
      <c r="I46" s="948"/>
      <c r="J46" s="542"/>
      <c r="K46" s="542"/>
    </row>
    <row r="47" spans="1:11" ht="15.75" thickBot="1">
      <c r="A47" s="928"/>
      <c r="B47" s="204"/>
      <c r="C47" s="204"/>
      <c r="D47" s="204"/>
      <c r="E47" s="195"/>
      <c r="F47" s="199"/>
      <c r="G47" s="195"/>
      <c r="H47" s="199"/>
      <c r="I47" s="1056"/>
      <c r="J47" s="186"/>
      <c r="K47" s="186"/>
    </row>
    <row r="48" spans="1:11" ht="15.75" thickTop="1">
      <c r="A48" s="907"/>
      <c r="B48" s="180"/>
      <c r="C48" s="180"/>
      <c r="D48" s="180"/>
      <c r="E48" s="180"/>
      <c r="F48" s="180"/>
      <c r="G48" s="180"/>
      <c r="H48" s="180"/>
      <c r="I48" s="908"/>
      <c r="J48" s="180"/>
      <c r="K48" s="180"/>
    </row>
    <row r="49" spans="1:11">
      <c r="A49" s="930"/>
      <c r="B49" s="189" t="s">
        <v>10</v>
      </c>
      <c r="C49" s="189" t="s">
        <v>18</v>
      </c>
      <c r="D49" s="190" t="s">
        <v>19</v>
      </c>
      <c r="E49" s="191"/>
      <c r="F49" s="191"/>
      <c r="G49" s="191"/>
      <c r="H49" s="191"/>
      <c r="I49" s="917"/>
      <c r="J49" s="180"/>
      <c r="K49" s="180"/>
    </row>
    <row r="50" spans="1:11" ht="26.25" customHeight="1">
      <c r="A50" s="916" t="s">
        <v>15</v>
      </c>
      <c r="B50" s="188"/>
      <c r="C50" s="188"/>
      <c r="D50" s="194"/>
      <c r="E50" s="191"/>
      <c r="F50" s="191"/>
      <c r="G50" s="191"/>
      <c r="H50" s="191"/>
      <c r="I50" s="917"/>
      <c r="J50" s="180"/>
      <c r="K50" s="180"/>
    </row>
    <row r="51" spans="1:11" ht="26.25" customHeight="1">
      <c r="A51" s="916" t="s">
        <v>16</v>
      </c>
      <c r="B51" s="188"/>
      <c r="C51" s="188"/>
      <c r="D51" s="194"/>
      <c r="E51" s="191"/>
      <c r="F51" s="191"/>
      <c r="G51" s="191"/>
      <c r="H51" s="191"/>
      <c r="I51" s="917"/>
      <c r="J51" s="180"/>
      <c r="K51" s="180"/>
    </row>
    <row r="52" spans="1:11" ht="27" customHeight="1" thickBot="1">
      <c r="A52" s="918" t="s">
        <v>553</v>
      </c>
      <c r="B52" s="919"/>
      <c r="C52" s="919"/>
      <c r="D52" s="920"/>
      <c r="E52" s="921"/>
      <c r="F52" s="921"/>
      <c r="G52" s="921"/>
      <c r="H52" s="921"/>
      <c r="I52" s="922"/>
      <c r="J52" s="180"/>
      <c r="K52" s="180"/>
    </row>
  </sheetData>
  <mergeCells count="18">
    <mergeCell ref="B31:E31"/>
    <mergeCell ref="B32:E32"/>
    <mergeCell ref="B33:E33"/>
    <mergeCell ref="A22:E22"/>
    <mergeCell ref="A23:E23"/>
    <mergeCell ref="B25:E25"/>
    <mergeCell ref="B26:E26"/>
    <mergeCell ref="A28:E28"/>
    <mergeCell ref="A29:E29"/>
    <mergeCell ref="B20:E20"/>
    <mergeCell ref="A1:B1"/>
    <mergeCell ref="C1:E2"/>
    <mergeCell ref="F2:G2"/>
    <mergeCell ref="B13:E13"/>
    <mergeCell ref="B15:E15"/>
    <mergeCell ref="A16:E16"/>
    <mergeCell ref="A17:E17"/>
    <mergeCell ref="A18:E18"/>
  </mergeCells>
  <pageMargins left="0.7" right="0.7" top="0.75" bottom="0.75" header="0.3" footer="0.3"/>
  <pageSetup paperSize="9"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61"/>
  <sheetViews>
    <sheetView view="pageBreakPreview" zoomScaleSheetLayoutView="100" workbookViewId="0">
      <selection activeCell="D18" sqref="D18"/>
    </sheetView>
  </sheetViews>
  <sheetFormatPr defaultRowHeight="15"/>
  <cols>
    <col min="1" max="1" width="17.140625" style="168" customWidth="1"/>
    <col min="2" max="4" width="9.140625" style="168"/>
    <col min="5" max="5" width="11.5703125" style="168" customWidth="1"/>
    <col min="6" max="7" width="9.140625" style="168"/>
    <col min="8" max="8" width="11.140625" style="168" bestFit="1" customWidth="1"/>
    <col min="9" max="9" width="9.42578125" style="168" customWidth="1"/>
    <col min="10" max="10" width="10.42578125" style="168" bestFit="1" customWidth="1"/>
    <col min="11" max="11" width="10.5703125" style="168" customWidth="1"/>
    <col min="12" max="16384" width="9.140625" style="168"/>
  </cols>
  <sheetData>
    <row r="1" spans="1:11">
      <c r="A1" s="1605" t="s">
        <v>0</v>
      </c>
      <c r="B1" s="1606"/>
      <c r="C1" s="1607" t="s">
        <v>4</v>
      </c>
      <c r="D1" s="1608"/>
      <c r="E1" s="1609"/>
      <c r="F1" s="897" t="s">
        <v>7</v>
      </c>
      <c r="G1" s="898"/>
      <c r="H1" s="899" t="s">
        <v>8</v>
      </c>
      <c r="I1" s="898"/>
      <c r="J1" s="899" t="s">
        <v>61</v>
      </c>
      <c r="K1" s="900"/>
    </row>
    <row r="2" spans="1:11">
      <c r="A2" s="945" t="s">
        <v>552</v>
      </c>
      <c r="B2" s="169"/>
      <c r="C2" s="1583"/>
      <c r="D2" s="1584"/>
      <c r="E2" s="1585"/>
      <c r="F2" s="1595">
        <v>17</v>
      </c>
      <c r="G2" s="1596"/>
      <c r="H2" s="1586"/>
      <c r="I2" s="1587"/>
      <c r="J2" s="479">
        <v>0</v>
      </c>
      <c r="K2" s="902">
        <v>1</v>
      </c>
    </row>
    <row r="3" spans="1:11">
      <c r="A3" s="903" t="s">
        <v>2</v>
      </c>
      <c r="B3" s="171"/>
      <c r="C3" s="167" t="s">
        <v>5</v>
      </c>
      <c r="D3" s="172"/>
      <c r="E3" s="166"/>
      <c r="F3" s="165" t="s">
        <v>9</v>
      </c>
      <c r="G3" s="172"/>
      <c r="H3" s="172"/>
      <c r="I3" s="172"/>
      <c r="J3" s="172"/>
      <c r="K3" s="904"/>
    </row>
    <row r="4" spans="1:11">
      <c r="A4" s="905" t="s">
        <v>490</v>
      </c>
      <c r="B4" s="173"/>
      <c r="C4" s="174"/>
      <c r="D4" s="456">
        <v>2</v>
      </c>
      <c r="E4" s="175"/>
      <c r="F4" s="176" t="s">
        <v>763</v>
      </c>
      <c r="G4" s="177"/>
      <c r="H4" s="177"/>
      <c r="I4" s="177"/>
      <c r="J4" s="177"/>
      <c r="K4" s="906"/>
    </row>
    <row r="5" spans="1:11">
      <c r="A5" s="903" t="s">
        <v>491</v>
      </c>
      <c r="B5" s="282"/>
      <c r="C5" s="165" t="s">
        <v>6</v>
      </c>
      <c r="D5" s="172"/>
      <c r="E5" s="166"/>
      <c r="F5" s="165" t="s">
        <v>10</v>
      </c>
      <c r="G5" s="172"/>
      <c r="H5" s="172"/>
      <c r="I5" s="172"/>
      <c r="J5" s="172"/>
      <c r="K5" s="904"/>
    </row>
    <row r="6" spans="1:11">
      <c r="A6" s="905">
        <v>15.8</v>
      </c>
      <c r="B6" s="173"/>
      <c r="C6" s="174"/>
      <c r="D6" s="177"/>
      <c r="E6" s="175"/>
      <c r="F6" s="178"/>
      <c r="G6" s="177"/>
      <c r="H6" s="177"/>
      <c r="I6" s="177"/>
      <c r="J6" s="177"/>
      <c r="K6" s="906"/>
    </row>
    <row r="7" spans="1:11">
      <c r="A7" s="909" t="s">
        <v>11</v>
      </c>
      <c r="B7" s="183"/>
      <c r="C7" s="172"/>
      <c r="D7" s="172"/>
      <c r="E7" s="166"/>
      <c r="F7" s="184" t="s">
        <v>12</v>
      </c>
      <c r="G7" s="166"/>
      <c r="H7" s="184" t="s">
        <v>13</v>
      </c>
      <c r="I7" s="166"/>
      <c r="J7" s="184" t="s">
        <v>14</v>
      </c>
      <c r="K7" s="904"/>
    </row>
    <row r="8" spans="1:11" ht="15.75">
      <c r="A8" s="946" t="s">
        <v>890</v>
      </c>
      <c r="B8" s="198"/>
      <c r="C8" s="198"/>
      <c r="D8" s="198"/>
      <c r="E8" s="180"/>
      <c r="F8" s="179"/>
      <c r="G8" s="180"/>
      <c r="H8" s="179"/>
      <c r="I8" s="180"/>
      <c r="J8" s="179"/>
      <c r="K8" s="908"/>
    </row>
    <row r="9" spans="1:11">
      <c r="A9" s="911"/>
      <c r="B9" s="198" t="s">
        <v>891</v>
      </c>
      <c r="C9" s="198"/>
      <c r="D9" s="198"/>
      <c r="E9" s="180"/>
      <c r="F9" s="179"/>
      <c r="G9" s="180"/>
      <c r="H9" s="179"/>
      <c r="I9" s="180"/>
      <c r="J9" s="179"/>
      <c r="K9" s="908"/>
    </row>
    <row r="10" spans="1:11">
      <c r="A10" s="911"/>
      <c r="B10" s="943"/>
      <c r="C10" s="943"/>
      <c r="D10" s="943"/>
      <c r="E10" s="944"/>
      <c r="F10" s="179">
        <v>1</v>
      </c>
      <c r="G10" s="180"/>
      <c r="H10" s="179">
        <v>14.45</v>
      </c>
      <c r="I10" s="180"/>
      <c r="J10" s="179"/>
      <c r="K10" s="908"/>
    </row>
    <row r="11" spans="1:11" ht="15.75" thickBot="1">
      <c r="A11" s="911"/>
      <c r="B11" s="943"/>
      <c r="C11" s="943"/>
      <c r="D11" s="943"/>
      <c r="E11" s="944"/>
      <c r="F11" s="179"/>
      <c r="G11" s="180"/>
      <c r="H11" s="179">
        <v>9.65</v>
      </c>
      <c r="I11" s="180"/>
      <c r="J11" s="187">
        <f>F10*H10*H11</f>
        <v>139.4425</v>
      </c>
      <c r="K11" s="908"/>
    </row>
    <row r="12" spans="1:11" ht="15.75" thickTop="1">
      <c r="A12" s="947"/>
      <c r="B12" s="542"/>
      <c r="C12" s="542"/>
      <c r="D12" s="542"/>
      <c r="E12" s="542"/>
      <c r="F12" s="214">
        <v>1</v>
      </c>
      <c r="G12" s="542"/>
      <c r="H12" s="214">
        <v>4.0999999999999996</v>
      </c>
      <c r="I12" s="542"/>
      <c r="J12" s="214"/>
      <c r="K12" s="948"/>
    </row>
    <row r="13" spans="1:11">
      <c r="A13" s="947"/>
      <c r="B13" s="542"/>
      <c r="C13" s="542"/>
      <c r="D13" s="542"/>
      <c r="E13" s="542"/>
      <c r="F13" s="214"/>
      <c r="G13" s="542"/>
      <c r="H13" s="513">
        <v>3.72</v>
      </c>
      <c r="I13" s="515"/>
      <c r="J13" s="513">
        <f>F12*H12*H13</f>
        <v>15.251999999999999</v>
      </c>
      <c r="K13" s="948"/>
    </row>
    <row r="14" spans="1:11">
      <c r="A14" s="947"/>
      <c r="B14" s="542"/>
      <c r="C14" s="542"/>
      <c r="D14" s="542"/>
      <c r="E14" s="542"/>
      <c r="F14" s="214">
        <v>1</v>
      </c>
      <c r="G14" s="542"/>
      <c r="H14" s="214">
        <v>1.35</v>
      </c>
      <c r="I14" s="542"/>
      <c r="J14" s="214"/>
      <c r="K14" s="948"/>
    </row>
    <row r="15" spans="1:11">
      <c r="A15" s="947"/>
      <c r="B15" s="542"/>
      <c r="C15" s="542"/>
      <c r="D15" s="542"/>
      <c r="E15" s="542"/>
      <c r="F15" s="214"/>
      <c r="G15" s="542"/>
      <c r="H15" s="513">
        <v>4.17</v>
      </c>
      <c r="I15" s="515"/>
      <c r="J15" s="513">
        <f t="shared" ref="J15:J25" si="0">F14*H14*H15</f>
        <v>5.6295000000000002</v>
      </c>
      <c r="K15" s="948"/>
    </row>
    <row r="16" spans="1:11">
      <c r="A16" s="947"/>
      <c r="B16" s="542"/>
      <c r="C16" s="542"/>
      <c r="D16" s="542"/>
      <c r="E16" s="542"/>
      <c r="F16" s="214">
        <v>1</v>
      </c>
      <c r="G16" s="542"/>
      <c r="H16" s="214">
        <v>1.35</v>
      </c>
      <c r="I16" s="542"/>
      <c r="J16" s="214"/>
      <c r="K16" s="948"/>
    </row>
    <row r="17" spans="1:11">
      <c r="A17" s="947"/>
      <c r="B17" s="542"/>
      <c r="C17" s="542"/>
      <c r="D17" s="542"/>
      <c r="E17" s="542"/>
      <c r="F17" s="214"/>
      <c r="G17" s="542"/>
      <c r="H17" s="513">
        <v>1.35</v>
      </c>
      <c r="I17" s="515"/>
      <c r="J17" s="513">
        <f t="shared" si="0"/>
        <v>1.8225000000000002</v>
      </c>
      <c r="K17" s="948"/>
    </row>
    <row r="18" spans="1:11">
      <c r="A18" s="947"/>
      <c r="B18" s="542"/>
      <c r="C18" s="542"/>
      <c r="D18" s="542"/>
      <c r="E18" s="542"/>
      <c r="F18" s="214">
        <v>1</v>
      </c>
      <c r="G18" s="542"/>
      <c r="H18" s="214">
        <v>4.0999999999999996</v>
      </c>
      <c r="I18" s="542"/>
      <c r="J18" s="214"/>
      <c r="K18" s="948"/>
    </row>
    <row r="19" spans="1:11">
      <c r="A19" s="947"/>
      <c r="B19" s="542"/>
      <c r="C19" s="542"/>
      <c r="D19" s="542"/>
      <c r="E19" s="542"/>
      <c r="F19" s="214"/>
      <c r="G19" s="542"/>
      <c r="H19" s="513">
        <v>3.77</v>
      </c>
      <c r="I19" s="515"/>
      <c r="J19" s="513">
        <f t="shared" si="0"/>
        <v>15.456999999999999</v>
      </c>
      <c r="K19" s="948"/>
    </row>
    <row r="20" spans="1:11">
      <c r="A20" s="947"/>
      <c r="B20" s="542"/>
      <c r="C20" s="542"/>
      <c r="D20" s="542"/>
      <c r="E20" s="542"/>
      <c r="F20" s="214">
        <v>1</v>
      </c>
      <c r="G20" s="542"/>
      <c r="H20" s="214">
        <v>2.4500000000000002</v>
      </c>
      <c r="I20" s="542"/>
      <c r="J20" s="214"/>
      <c r="K20" s="948"/>
    </row>
    <row r="21" spans="1:11">
      <c r="A21" s="947"/>
      <c r="B21" s="542"/>
      <c r="C21" s="542"/>
      <c r="D21" s="542"/>
      <c r="E21" s="542"/>
      <c r="F21" s="214"/>
      <c r="G21" s="542"/>
      <c r="H21" s="513">
        <v>0.75</v>
      </c>
      <c r="I21" s="515"/>
      <c r="J21" s="513">
        <f t="shared" si="0"/>
        <v>1.8375000000000001</v>
      </c>
      <c r="K21" s="948"/>
    </row>
    <row r="22" spans="1:11">
      <c r="A22" s="947"/>
      <c r="B22" s="542"/>
      <c r="C22" s="542"/>
      <c r="D22" s="542"/>
      <c r="E22" s="542"/>
      <c r="F22" s="214">
        <v>1</v>
      </c>
      <c r="G22" s="542"/>
      <c r="H22" s="214">
        <v>1.5</v>
      </c>
      <c r="I22" s="542"/>
      <c r="J22" s="214"/>
      <c r="K22" s="948"/>
    </row>
    <row r="23" spans="1:11">
      <c r="A23" s="947"/>
      <c r="B23" s="542"/>
      <c r="C23" s="542"/>
      <c r="D23" s="542"/>
      <c r="E23" s="542"/>
      <c r="F23" s="214"/>
      <c r="G23" s="542"/>
      <c r="H23" s="513">
        <v>2.16</v>
      </c>
      <c r="I23" s="515"/>
      <c r="J23" s="513">
        <f t="shared" si="0"/>
        <v>3.24</v>
      </c>
      <c r="K23" s="948"/>
    </row>
    <row r="24" spans="1:11">
      <c r="A24" s="947"/>
      <c r="B24" s="542"/>
      <c r="C24" s="542"/>
      <c r="D24" s="542"/>
      <c r="E24" s="542"/>
      <c r="F24" s="214">
        <v>1</v>
      </c>
      <c r="G24" s="542"/>
      <c r="H24" s="214">
        <v>2.85</v>
      </c>
      <c r="I24" s="542"/>
      <c r="J24" s="214"/>
      <c r="K24" s="948"/>
    </row>
    <row r="25" spans="1:11">
      <c r="A25" s="947"/>
      <c r="B25" s="542"/>
      <c r="C25" s="542"/>
      <c r="D25" s="542"/>
      <c r="E25" s="542"/>
      <c r="F25" s="214"/>
      <c r="G25" s="542"/>
      <c r="H25" s="513">
        <v>1.1599999999999999</v>
      </c>
      <c r="I25" s="942"/>
      <c r="J25" s="513">
        <f t="shared" si="0"/>
        <v>3.306</v>
      </c>
      <c r="K25" s="948"/>
    </row>
    <row r="26" spans="1:11" ht="19.5" thickBot="1">
      <c r="A26" s="947"/>
      <c r="B26" s="1631" t="s">
        <v>1137</v>
      </c>
      <c r="C26" s="1631"/>
      <c r="D26" s="1631"/>
      <c r="E26" s="1632"/>
      <c r="F26" s="214"/>
      <c r="G26" s="542"/>
      <c r="H26" s="214"/>
      <c r="I26" s="542"/>
      <c r="J26" s="579">
        <f>J11+J13+J15+J17+J19+J21+J23+J25</f>
        <v>185.98700000000002</v>
      </c>
      <c r="K26" s="948"/>
    </row>
    <row r="27" spans="1:11" ht="15.75" thickTop="1">
      <c r="A27" s="947"/>
      <c r="B27" s="542"/>
      <c r="C27" s="542"/>
      <c r="D27" s="542"/>
      <c r="E27" s="542"/>
      <c r="F27" s="214"/>
      <c r="G27" s="542"/>
      <c r="H27" s="214"/>
      <c r="I27" s="542"/>
      <c r="J27" s="214"/>
      <c r="K27" s="948"/>
    </row>
    <row r="28" spans="1:11">
      <c r="A28" s="947"/>
      <c r="B28" s="542"/>
      <c r="C28" s="542"/>
      <c r="D28" s="542"/>
      <c r="E28" s="542"/>
      <c r="F28" s="214"/>
      <c r="G28" s="542"/>
      <c r="H28" s="214"/>
      <c r="I28" s="542"/>
      <c r="J28" s="214"/>
      <c r="K28" s="948"/>
    </row>
    <row r="29" spans="1:11" ht="31.5" customHeight="1">
      <c r="A29" s="1621" t="s">
        <v>1170</v>
      </c>
      <c r="B29" s="1450"/>
      <c r="C29" s="1450"/>
      <c r="D29" s="1450"/>
      <c r="E29" s="1451"/>
      <c r="F29" s="214"/>
      <c r="G29" s="542"/>
      <c r="H29" s="214"/>
      <c r="I29" s="542"/>
      <c r="J29" s="214"/>
      <c r="K29" s="948"/>
    </row>
    <row r="30" spans="1:11">
      <c r="A30" s="947"/>
      <c r="B30" s="542"/>
      <c r="C30" s="542"/>
      <c r="D30" s="542"/>
      <c r="E30" s="542"/>
      <c r="F30" s="214"/>
      <c r="G30" s="542"/>
      <c r="H30" s="214"/>
      <c r="I30" s="542"/>
      <c r="J30" s="214"/>
      <c r="K30" s="948"/>
    </row>
    <row r="31" spans="1:11" ht="16.5" thickBot="1">
      <c r="A31" s="947"/>
      <c r="B31" s="1633" t="s">
        <v>1168</v>
      </c>
      <c r="C31" s="1633"/>
      <c r="D31" s="1633"/>
      <c r="E31" s="1633"/>
      <c r="F31" s="214">
        <v>1</v>
      </c>
      <c r="G31" s="542"/>
      <c r="H31" s="513">
        <v>2</v>
      </c>
      <c r="I31" s="515"/>
      <c r="J31" s="476">
        <f>F31*H31</f>
        <v>2</v>
      </c>
      <c r="K31" s="948"/>
    </row>
    <row r="32" spans="1:11" ht="15.75" thickTop="1">
      <c r="A32" s="947"/>
      <c r="B32" s="542"/>
      <c r="C32" s="542"/>
      <c r="D32" s="542"/>
      <c r="E32" s="542"/>
      <c r="F32" s="214"/>
      <c r="G32" s="542"/>
      <c r="H32" s="214"/>
      <c r="I32" s="542"/>
      <c r="J32" s="214"/>
      <c r="K32" s="948"/>
    </row>
    <row r="33" spans="1:11">
      <c r="A33" s="947"/>
      <c r="B33" s="542"/>
      <c r="C33" s="542"/>
      <c r="D33" s="542"/>
      <c r="E33" s="542"/>
      <c r="F33" s="214"/>
      <c r="G33" s="542"/>
      <c r="H33" s="214"/>
      <c r="I33" s="542"/>
      <c r="J33" s="214"/>
      <c r="K33" s="948"/>
    </row>
    <row r="34" spans="1:11" ht="16.5" thickBot="1">
      <c r="A34" s="947"/>
      <c r="B34" s="1633" t="s">
        <v>1169</v>
      </c>
      <c r="C34" s="1633"/>
      <c r="D34" s="1633"/>
      <c r="E34" s="1633"/>
      <c r="F34" s="214">
        <v>1</v>
      </c>
      <c r="G34" s="542"/>
      <c r="H34" s="513">
        <v>7</v>
      </c>
      <c r="I34" s="515"/>
      <c r="J34" s="476">
        <f>F34*H34</f>
        <v>7</v>
      </c>
      <c r="K34" s="948"/>
    </row>
    <row r="35" spans="1:11" ht="15.75" thickTop="1">
      <c r="A35" s="947"/>
      <c r="B35" s="542"/>
      <c r="C35" s="542"/>
      <c r="D35" s="542"/>
      <c r="E35" s="542"/>
      <c r="F35" s="214"/>
      <c r="G35" s="542"/>
      <c r="H35" s="214"/>
      <c r="I35" s="542"/>
      <c r="J35" s="214"/>
      <c r="K35" s="948"/>
    </row>
    <row r="36" spans="1:11">
      <c r="A36" s="947"/>
      <c r="B36" s="542"/>
      <c r="C36" s="542"/>
      <c r="D36" s="542"/>
      <c r="E36" s="542"/>
      <c r="F36" s="214"/>
      <c r="G36" s="542"/>
      <c r="H36" s="214"/>
      <c r="I36" s="542"/>
      <c r="J36" s="214"/>
      <c r="K36" s="948"/>
    </row>
    <row r="37" spans="1:11" ht="15.75">
      <c r="A37" s="949" t="s">
        <v>685</v>
      </c>
      <c r="B37" s="892"/>
      <c r="C37" s="892"/>
      <c r="D37" s="892"/>
      <c r="E37" s="542"/>
      <c r="F37" s="214"/>
      <c r="G37" s="542"/>
      <c r="H37" s="214"/>
      <c r="I37" s="542"/>
      <c r="J37" s="214"/>
      <c r="K37" s="948"/>
    </row>
    <row r="38" spans="1:11">
      <c r="A38" s="947"/>
      <c r="B38" s="542"/>
      <c r="C38" s="542"/>
      <c r="D38" s="542"/>
      <c r="E38" s="542"/>
      <c r="F38" s="214"/>
      <c r="G38" s="542"/>
      <c r="H38" s="214"/>
      <c r="I38" s="542"/>
      <c r="J38" s="214"/>
      <c r="K38" s="948"/>
    </row>
    <row r="39" spans="1:11" ht="15.75">
      <c r="A39" s="1634" t="s">
        <v>1171</v>
      </c>
      <c r="B39" s="1635"/>
      <c r="C39" s="1635"/>
      <c r="D39" s="1635"/>
      <c r="E39" s="1636"/>
      <c r="F39" s="214"/>
      <c r="G39" s="542"/>
      <c r="H39" s="214"/>
      <c r="I39" s="542"/>
      <c r="J39" s="214"/>
      <c r="K39" s="948"/>
    </row>
    <row r="40" spans="1:11">
      <c r="A40" s="947"/>
      <c r="B40" s="542"/>
      <c r="C40" s="542"/>
      <c r="D40" s="542"/>
      <c r="E40" s="542"/>
      <c r="F40" s="214"/>
      <c r="G40" s="542"/>
      <c r="H40" s="214"/>
      <c r="I40" s="542"/>
      <c r="J40" s="214"/>
      <c r="K40" s="948"/>
    </row>
    <row r="41" spans="1:11">
      <c r="A41" s="947"/>
      <c r="B41" s="1574" t="s">
        <v>1172</v>
      </c>
      <c r="C41" s="1574"/>
      <c r="D41" s="1574"/>
      <c r="E41" s="542"/>
      <c r="F41" s="214">
        <v>4</v>
      </c>
      <c r="G41" s="542"/>
      <c r="H41" s="513">
        <v>2.85</v>
      </c>
      <c r="I41" s="515"/>
      <c r="J41" s="513">
        <f>F41*H41</f>
        <v>11.4</v>
      </c>
      <c r="K41" s="948"/>
    </row>
    <row r="42" spans="1:11">
      <c r="A42" s="947"/>
      <c r="B42" s="542"/>
      <c r="C42" s="542"/>
      <c r="D42" s="542"/>
      <c r="E42" s="542"/>
      <c r="F42" s="214"/>
      <c r="G42" s="542"/>
      <c r="H42" s="214"/>
      <c r="I42" s="542"/>
      <c r="J42" s="214"/>
      <c r="K42" s="948"/>
    </row>
    <row r="43" spans="1:11">
      <c r="A43" s="947"/>
      <c r="B43" s="1574" t="s">
        <v>1173</v>
      </c>
      <c r="C43" s="1574"/>
      <c r="D43" s="1574"/>
      <c r="E43" s="542"/>
      <c r="F43" s="214">
        <v>2</v>
      </c>
      <c r="G43" s="542"/>
      <c r="H43" s="513">
        <v>2.1</v>
      </c>
      <c r="I43" s="515"/>
      <c r="J43" s="513">
        <f>F43*H43</f>
        <v>4.2</v>
      </c>
      <c r="K43" s="948"/>
    </row>
    <row r="44" spans="1:11" ht="15.75" thickBot="1">
      <c r="A44" s="947"/>
      <c r="B44" s="542"/>
      <c r="C44" s="542"/>
      <c r="D44" s="542"/>
      <c r="E44" s="542"/>
      <c r="F44" s="214"/>
      <c r="G44" s="542"/>
      <c r="H44" s="214"/>
      <c r="I44" s="542"/>
      <c r="J44" s="476">
        <f>J41+J43</f>
        <v>15.600000000000001</v>
      </c>
      <c r="K44" s="948"/>
    </row>
    <row r="45" spans="1:11" ht="15.75" thickTop="1">
      <c r="A45" s="947"/>
      <c r="B45" s="542"/>
      <c r="C45" s="542"/>
      <c r="D45" s="542"/>
      <c r="E45" s="542"/>
      <c r="F45" s="214"/>
      <c r="G45" s="542"/>
      <c r="H45" s="214"/>
      <c r="I45" s="542"/>
      <c r="J45" s="214"/>
      <c r="K45" s="948"/>
    </row>
    <row r="46" spans="1:11">
      <c r="A46" s="947"/>
      <c r="B46" s="542"/>
      <c r="C46" s="542"/>
      <c r="D46" s="542"/>
      <c r="E46" s="542"/>
      <c r="F46" s="214"/>
      <c r="G46" s="542"/>
      <c r="H46" s="214"/>
      <c r="I46" s="542"/>
      <c r="J46" s="214"/>
      <c r="K46" s="948"/>
    </row>
    <row r="47" spans="1:11">
      <c r="A47" s="947"/>
      <c r="B47" s="542"/>
      <c r="C47" s="542"/>
      <c r="D47" s="542"/>
      <c r="E47" s="542"/>
      <c r="F47" s="214"/>
      <c r="G47" s="542"/>
      <c r="H47" s="214"/>
      <c r="I47" s="542"/>
      <c r="J47" s="214"/>
      <c r="K47" s="948"/>
    </row>
    <row r="48" spans="1:11">
      <c r="A48" s="947"/>
      <c r="B48" s="542"/>
      <c r="C48" s="542"/>
      <c r="D48" s="542"/>
      <c r="E48" s="542"/>
      <c r="F48" s="214"/>
      <c r="G48" s="542"/>
      <c r="H48" s="214"/>
      <c r="I48" s="542"/>
      <c r="J48" s="214"/>
      <c r="K48" s="948"/>
    </row>
    <row r="49" spans="1:11">
      <c r="A49" s="947"/>
      <c r="B49" s="542"/>
      <c r="C49" s="542"/>
      <c r="D49" s="542"/>
      <c r="E49" s="542"/>
      <c r="F49" s="214"/>
      <c r="G49" s="542"/>
      <c r="H49" s="214"/>
      <c r="I49" s="542"/>
      <c r="J49" s="214"/>
      <c r="K49" s="948"/>
    </row>
    <row r="50" spans="1:11">
      <c r="A50" s="947"/>
      <c r="B50" s="542"/>
      <c r="C50" s="542"/>
      <c r="D50" s="542"/>
      <c r="E50" s="542"/>
      <c r="F50" s="214"/>
      <c r="G50" s="542"/>
      <c r="H50" s="214"/>
      <c r="I50" s="542"/>
      <c r="J50" s="214"/>
      <c r="K50" s="948"/>
    </row>
    <row r="51" spans="1:11">
      <c r="A51" s="947"/>
      <c r="B51" s="542"/>
      <c r="C51" s="542"/>
      <c r="D51" s="542"/>
      <c r="E51" s="542"/>
      <c r="F51" s="214"/>
      <c r="G51" s="542"/>
      <c r="H51" s="214"/>
      <c r="I51" s="542"/>
      <c r="J51" s="214"/>
      <c r="K51" s="948"/>
    </row>
    <row r="52" spans="1:11">
      <c r="A52" s="947"/>
      <c r="B52" s="542"/>
      <c r="C52" s="542"/>
      <c r="D52" s="542"/>
      <c r="E52" s="542"/>
      <c r="F52" s="214"/>
      <c r="G52" s="542"/>
      <c r="H52" s="214"/>
      <c r="I52" s="542"/>
      <c r="J52" s="214"/>
      <c r="K52" s="948"/>
    </row>
    <row r="53" spans="1:11">
      <c r="A53" s="947"/>
      <c r="B53" s="542"/>
      <c r="C53" s="542"/>
      <c r="D53" s="542"/>
      <c r="E53" s="542"/>
      <c r="F53" s="214"/>
      <c r="G53" s="542"/>
      <c r="H53" s="214"/>
      <c r="I53" s="542"/>
      <c r="J53" s="214"/>
      <c r="K53" s="948"/>
    </row>
    <row r="54" spans="1:11">
      <c r="A54" s="947"/>
      <c r="B54" s="542"/>
      <c r="C54" s="542"/>
      <c r="D54" s="542"/>
      <c r="E54" s="542"/>
      <c r="F54" s="214"/>
      <c r="G54" s="542"/>
      <c r="H54" s="214"/>
      <c r="I54" s="542"/>
      <c r="J54" s="214"/>
      <c r="K54" s="948"/>
    </row>
    <row r="55" spans="1:11">
      <c r="A55" s="947"/>
      <c r="B55" s="542"/>
      <c r="C55" s="542"/>
      <c r="D55" s="542"/>
      <c r="E55" s="542"/>
      <c r="F55" s="214"/>
      <c r="G55" s="542"/>
      <c r="H55" s="214"/>
      <c r="I55" s="542"/>
      <c r="J55" s="214"/>
      <c r="K55" s="948"/>
    </row>
    <row r="56" spans="1:11">
      <c r="A56" s="947"/>
      <c r="B56" s="542"/>
      <c r="C56" s="542"/>
      <c r="D56" s="542"/>
      <c r="E56" s="542"/>
      <c r="F56" s="214"/>
      <c r="G56" s="542"/>
      <c r="H56" s="214"/>
      <c r="I56" s="542"/>
      <c r="J56" s="214"/>
      <c r="K56" s="948"/>
    </row>
    <row r="57" spans="1:11">
      <c r="A57" s="950"/>
      <c r="B57" s="542"/>
      <c r="C57" s="542"/>
      <c r="D57" s="542"/>
      <c r="E57" s="542"/>
      <c r="F57" s="513"/>
      <c r="G57" s="542"/>
      <c r="H57" s="513"/>
      <c r="I57" s="542"/>
      <c r="J57" s="513"/>
      <c r="K57" s="951"/>
    </row>
    <row r="58" spans="1:11">
      <c r="A58" s="930"/>
      <c r="B58" s="189" t="s">
        <v>10</v>
      </c>
      <c r="C58" s="189" t="s">
        <v>18</v>
      </c>
      <c r="D58" s="190" t="s">
        <v>19</v>
      </c>
      <c r="E58" s="191"/>
      <c r="F58" s="191"/>
      <c r="G58" s="191"/>
      <c r="H58" s="191"/>
      <c r="I58" s="191"/>
      <c r="J58" s="191"/>
      <c r="K58" s="917"/>
    </row>
    <row r="59" spans="1:11" ht="27.75" customHeight="1">
      <c r="A59" s="916" t="s">
        <v>15</v>
      </c>
      <c r="B59" s="188"/>
      <c r="C59" s="188"/>
      <c r="D59" s="194"/>
      <c r="E59" s="191"/>
      <c r="F59" s="191"/>
      <c r="G59" s="191"/>
      <c r="H59" s="191"/>
      <c r="I59" s="191"/>
      <c r="J59" s="191"/>
      <c r="K59" s="917"/>
    </row>
    <row r="60" spans="1:11" ht="28.5" customHeight="1">
      <c r="A60" s="916" t="s">
        <v>16</v>
      </c>
      <c r="B60" s="188"/>
      <c r="C60" s="188"/>
      <c r="D60" s="194"/>
      <c r="E60" s="191"/>
      <c r="F60" s="191"/>
      <c r="G60" s="191"/>
      <c r="H60" s="191"/>
      <c r="I60" s="191"/>
      <c r="J60" s="191"/>
      <c r="K60" s="917"/>
    </row>
    <row r="61" spans="1:11" ht="27.75" customHeight="1" thickBot="1">
      <c r="A61" s="918" t="s">
        <v>553</v>
      </c>
      <c r="B61" s="919"/>
      <c r="C61" s="919"/>
      <c r="D61" s="920"/>
      <c r="E61" s="921"/>
      <c r="F61" s="921"/>
      <c r="G61" s="921"/>
      <c r="H61" s="921"/>
      <c r="I61" s="921"/>
      <c r="J61" s="921"/>
      <c r="K61" s="922"/>
    </row>
  </sheetData>
  <mergeCells count="11">
    <mergeCell ref="B43:D43"/>
    <mergeCell ref="H2:I2"/>
    <mergeCell ref="A1:B1"/>
    <mergeCell ref="C1:E2"/>
    <mergeCell ref="B26:E26"/>
    <mergeCell ref="A29:E29"/>
    <mergeCell ref="B31:E31"/>
    <mergeCell ref="B34:E34"/>
    <mergeCell ref="A39:E39"/>
    <mergeCell ref="B41:D41"/>
    <mergeCell ref="F2:G2"/>
  </mergeCells>
  <printOptions horizontalCentered="1" verticalCentered="1"/>
  <pageMargins left="0" right="0" top="0" bottom="0" header="0.19" footer="0.22"/>
  <pageSetup paperSize="9" scale="80" fitToHeight="6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2:N83"/>
  <sheetViews>
    <sheetView view="pageBreakPreview" topLeftCell="A4" zoomScaleSheetLayoutView="100" workbookViewId="0">
      <selection activeCell="I63" sqref="I63"/>
    </sheetView>
  </sheetViews>
  <sheetFormatPr defaultRowHeight="15"/>
  <cols>
    <col min="1" max="1" width="17.140625" style="168" customWidth="1"/>
    <col min="2" max="4" width="9.140625" style="168"/>
    <col min="5" max="5" width="11.5703125" style="168" customWidth="1"/>
    <col min="6" max="6" width="9.140625" style="168"/>
    <col min="7" max="7" width="13.140625" style="168" customWidth="1"/>
    <col min="8" max="8" width="10.42578125" style="168" bestFit="1" customWidth="1"/>
    <col min="9" max="9" width="14.7109375" style="168" customWidth="1"/>
    <col min="10" max="16384" width="9.140625" style="168"/>
  </cols>
  <sheetData>
    <row r="2" spans="1:9" ht="15.75" thickBot="1"/>
    <row r="3" spans="1:9">
      <c r="A3" s="1605" t="s">
        <v>0</v>
      </c>
      <c r="B3" s="1606"/>
      <c r="C3" s="1607" t="s">
        <v>4</v>
      </c>
      <c r="D3" s="1608"/>
      <c r="E3" s="1609"/>
      <c r="F3" s="935" t="s">
        <v>7</v>
      </c>
      <c r="G3" s="936" t="s">
        <v>8</v>
      </c>
      <c r="H3" s="936" t="s">
        <v>61</v>
      </c>
      <c r="I3" s="900"/>
    </row>
    <row r="4" spans="1:9" ht="21">
      <c r="A4" s="937" t="s">
        <v>552</v>
      </c>
      <c r="B4" s="169"/>
      <c r="C4" s="1583"/>
      <c r="D4" s="1584"/>
      <c r="E4" s="1585"/>
      <c r="F4" s="1129">
        <v>19</v>
      </c>
      <c r="G4" s="1127"/>
      <c r="H4" s="479"/>
      <c r="I4" s="902" t="s">
        <v>766</v>
      </c>
    </row>
    <row r="5" spans="1:9">
      <c r="A5" s="903" t="s">
        <v>2</v>
      </c>
      <c r="B5" s="171"/>
      <c r="C5" s="167" t="s">
        <v>5</v>
      </c>
      <c r="D5" s="172"/>
      <c r="E5" s="166"/>
      <c r="F5" s="165" t="s">
        <v>9</v>
      </c>
      <c r="G5" s="172"/>
      <c r="H5" s="172"/>
      <c r="I5" s="904"/>
    </row>
    <row r="6" spans="1:9">
      <c r="A6" s="905" t="s">
        <v>490</v>
      </c>
      <c r="B6" s="173"/>
      <c r="C6" s="174"/>
      <c r="D6" s="456">
        <v>1</v>
      </c>
      <c r="E6" s="175"/>
      <c r="F6" s="176" t="s">
        <v>1231</v>
      </c>
      <c r="G6" s="177"/>
      <c r="H6" s="177"/>
      <c r="I6" s="906"/>
    </row>
    <row r="7" spans="1:9">
      <c r="A7" s="903" t="s">
        <v>491</v>
      </c>
      <c r="B7" s="282"/>
      <c r="C7" s="165" t="s">
        <v>6</v>
      </c>
      <c r="D7" s="1588" t="s">
        <v>1186</v>
      </c>
      <c r="E7" s="1589"/>
      <c r="F7" s="165" t="s">
        <v>10</v>
      </c>
      <c r="G7" s="1128"/>
      <c r="H7" s="172"/>
      <c r="I7" s="904"/>
    </row>
    <row r="8" spans="1:9">
      <c r="A8" s="905"/>
      <c r="B8" s="173"/>
      <c r="C8" s="174"/>
      <c r="D8" s="177"/>
      <c r="E8" s="175"/>
      <c r="F8" s="178"/>
      <c r="G8" s="177"/>
      <c r="H8" s="177"/>
      <c r="I8" s="906"/>
    </row>
    <row r="9" spans="1:9">
      <c r="A9" s="938" t="s">
        <v>11</v>
      </c>
      <c r="B9" s="180"/>
      <c r="C9" s="180"/>
      <c r="D9" s="180"/>
      <c r="E9" s="180"/>
      <c r="F9" s="180"/>
      <c r="G9" s="180"/>
      <c r="H9" s="180"/>
      <c r="I9" s="908"/>
    </row>
    <row r="10" spans="1:9">
      <c r="A10" s="939"/>
      <c r="B10" s="183"/>
      <c r="C10" s="172"/>
      <c r="D10" s="172"/>
      <c r="E10" s="166"/>
      <c r="F10" s="184" t="s">
        <v>12</v>
      </c>
      <c r="G10" s="1144" t="s">
        <v>13</v>
      </c>
      <c r="H10" s="1145" t="s">
        <v>14</v>
      </c>
      <c r="I10" s="904" t="s">
        <v>1189</v>
      </c>
    </row>
    <row r="11" spans="1:9" ht="15.75">
      <c r="A11" s="940" t="s">
        <v>720</v>
      </c>
      <c r="B11" s="941"/>
      <c r="C11" s="249"/>
      <c r="D11" s="180"/>
      <c r="E11" s="180"/>
      <c r="F11" s="179"/>
      <c r="G11" s="1072"/>
      <c r="H11" s="181"/>
      <c r="I11" s="908"/>
    </row>
    <row r="12" spans="1:9" ht="16.5">
      <c r="A12" s="1642" t="s">
        <v>1158</v>
      </c>
      <c r="B12" s="1643"/>
      <c r="C12" s="1643"/>
      <c r="D12" s="1643"/>
      <c r="E12" s="1644"/>
      <c r="F12" s="179"/>
      <c r="G12" s="1072"/>
      <c r="H12" s="181"/>
      <c r="I12" s="908"/>
    </row>
    <row r="13" spans="1:9" ht="15.75">
      <c r="A13" s="1645" t="s">
        <v>724</v>
      </c>
      <c r="B13" s="1646"/>
      <c r="C13" s="1646"/>
      <c r="D13" s="1646"/>
      <c r="E13" s="1647"/>
      <c r="F13" s="179">
        <v>4</v>
      </c>
      <c r="G13" s="1072">
        <v>3.35</v>
      </c>
      <c r="H13" s="181"/>
      <c r="I13" s="908"/>
    </row>
    <row r="14" spans="1:9" ht="15.75">
      <c r="A14" s="1130"/>
      <c r="B14" s="1125"/>
      <c r="C14" s="1125"/>
      <c r="D14" s="1125"/>
      <c r="E14" s="1126"/>
      <c r="F14" s="179"/>
      <c r="G14" s="1072">
        <v>0.95</v>
      </c>
      <c r="H14" s="181"/>
      <c r="I14" s="908"/>
    </row>
    <row r="15" spans="1:9" ht="16.5" thickBot="1">
      <c r="A15" s="1130"/>
      <c r="B15" s="1125"/>
      <c r="C15" s="1125"/>
      <c r="D15" s="1125"/>
      <c r="E15" s="1126"/>
      <c r="F15" s="179"/>
      <c r="G15" s="1080">
        <v>0.3</v>
      </c>
      <c r="H15" s="1073">
        <f>G15*G14*G13*F13</f>
        <v>3.819</v>
      </c>
      <c r="I15" s="908" t="s">
        <v>141</v>
      </c>
    </row>
    <row r="16" spans="1:9" ht="16.5" thickTop="1">
      <c r="A16" s="1130"/>
      <c r="B16" s="1125"/>
      <c r="C16" s="1125"/>
      <c r="D16" s="1125"/>
      <c r="E16" s="1126"/>
      <c r="F16" s="179"/>
      <c r="G16" s="179"/>
      <c r="H16" s="1072"/>
      <c r="I16" s="908"/>
    </row>
    <row r="17" spans="1:14" ht="15.75">
      <c r="A17" s="1637" t="s">
        <v>726</v>
      </c>
      <c r="B17" s="1638"/>
      <c r="C17" s="1638"/>
      <c r="D17" s="1638"/>
      <c r="E17" s="1639"/>
      <c r="F17" s="179">
        <v>2</v>
      </c>
      <c r="G17" s="179">
        <v>5.5</v>
      </c>
      <c r="H17" s="1072"/>
      <c r="I17" s="908"/>
    </row>
    <row r="18" spans="1:14" ht="15.75">
      <c r="A18" s="1130"/>
      <c r="B18" s="1125"/>
      <c r="C18" s="1125"/>
      <c r="D18" s="1125"/>
      <c r="E18" s="1126"/>
      <c r="F18" s="179"/>
      <c r="G18" s="179">
        <v>1.1499999999999999</v>
      </c>
      <c r="H18" s="1072"/>
      <c r="I18" s="908"/>
      <c r="N18" s="1086"/>
    </row>
    <row r="19" spans="1:14" ht="16.5" thickBot="1">
      <c r="A19" s="1130"/>
      <c r="B19" s="1125"/>
      <c r="C19" s="1125"/>
      <c r="D19" s="1125"/>
      <c r="E19" s="1126"/>
      <c r="F19" s="179"/>
      <c r="G19" s="1080">
        <v>0.3</v>
      </c>
      <c r="H19" s="1073">
        <f>G19*G18*G17*F17</f>
        <v>3.7949999999999999</v>
      </c>
      <c r="I19" s="908" t="s">
        <v>141</v>
      </c>
    </row>
    <row r="20" spans="1:14" ht="16.5" thickTop="1">
      <c r="A20" s="1130"/>
      <c r="B20" s="1125"/>
      <c r="C20" s="1125"/>
      <c r="D20" s="1125"/>
      <c r="E20" s="1126"/>
      <c r="F20" s="179"/>
      <c r="G20" s="179"/>
      <c r="H20" s="1072"/>
      <c r="I20" s="908"/>
    </row>
    <row r="21" spans="1:14" ht="15.75">
      <c r="A21" s="1637" t="s">
        <v>1227</v>
      </c>
      <c r="B21" s="1638"/>
      <c r="C21" s="1638"/>
      <c r="D21" s="1638"/>
      <c r="E21" s="1639"/>
      <c r="F21" s="179">
        <v>2</v>
      </c>
      <c r="G21" s="179">
        <v>5.9</v>
      </c>
      <c r="H21" s="1072"/>
      <c r="I21" s="908"/>
    </row>
    <row r="22" spans="1:14" ht="15.75">
      <c r="A22" s="1130"/>
      <c r="B22" s="1125"/>
      <c r="C22" s="1125"/>
      <c r="D22" s="1125"/>
      <c r="E22" s="1126"/>
      <c r="F22" s="179"/>
      <c r="G22" s="179">
        <v>7.2</v>
      </c>
      <c r="H22" s="1072"/>
      <c r="I22" s="908"/>
    </row>
    <row r="23" spans="1:14" ht="15.75">
      <c r="A23" s="1130"/>
      <c r="B23" s="1125"/>
      <c r="C23" s="1125"/>
      <c r="D23" s="1141"/>
      <c r="E23" s="1126"/>
      <c r="F23" s="179"/>
      <c r="G23" s="1080">
        <v>0.25</v>
      </c>
      <c r="H23" s="1080">
        <f>G23*G22*G21*F21</f>
        <v>21.240000000000002</v>
      </c>
      <c r="I23" s="908" t="s">
        <v>141</v>
      </c>
    </row>
    <row r="24" spans="1:14" ht="15.75">
      <c r="A24" s="1130"/>
      <c r="B24" s="1125"/>
      <c r="C24" s="1125"/>
      <c r="D24" s="1125"/>
      <c r="E24" s="1126"/>
      <c r="F24" s="179"/>
      <c r="G24" s="179"/>
      <c r="H24" s="1072"/>
      <c r="I24" s="908"/>
    </row>
    <row r="25" spans="1:14" ht="15.75">
      <c r="A25" s="1130"/>
      <c r="B25" s="1125"/>
      <c r="C25" s="1125"/>
      <c r="D25" s="1125"/>
      <c r="E25" s="1126"/>
      <c r="F25" s="179">
        <v>1</v>
      </c>
      <c r="G25" s="179">
        <v>11.83</v>
      </c>
      <c r="H25" s="1072"/>
      <c r="I25" s="908"/>
    </row>
    <row r="26" spans="1:14" ht="15.75">
      <c r="A26" s="1130"/>
      <c r="B26" s="1125"/>
      <c r="C26" s="1125"/>
      <c r="D26" s="1125"/>
      <c r="E26" s="1126"/>
      <c r="F26" s="179"/>
      <c r="G26" s="179">
        <v>1.4</v>
      </c>
      <c r="H26" s="1072"/>
      <c r="I26" s="908"/>
    </row>
    <row r="27" spans="1:14" ht="15.75">
      <c r="A27" s="1130"/>
      <c r="B27" s="1125"/>
      <c r="C27" s="1125"/>
      <c r="D27" s="1125"/>
      <c r="E27" s="1126"/>
      <c r="F27" s="179"/>
      <c r="G27" s="1080">
        <v>0.25</v>
      </c>
      <c r="H27" s="1080">
        <f>G27*G26*G25</f>
        <v>4.1404999999999994</v>
      </c>
      <c r="I27" s="908" t="s">
        <v>141</v>
      </c>
    </row>
    <row r="28" spans="1:14" ht="16.5" thickBot="1">
      <c r="A28" s="1130"/>
      <c r="B28" s="1125"/>
      <c r="C28" s="1125"/>
      <c r="D28" s="1125"/>
      <c r="E28" s="1126"/>
      <c r="F28" s="179"/>
      <c r="G28" s="179"/>
      <c r="H28" s="1134">
        <f>H27+H23</f>
        <v>25.380500000000001</v>
      </c>
      <c r="I28" s="908" t="s">
        <v>1229</v>
      </c>
    </row>
    <row r="29" spans="1:14" ht="16.5" thickTop="1">
      <c r="A29" s="1130"/>
      <c r="B29" s="1125"/>
      <c r="C29" s="1125"/>
      <c r="D29" s="1125"/>
      <c r="E29" s="1126"/>
      <c r="F29" s="179"/>
      <c r="G29" s="179"/>
      <c r="H29" s="1072"/>
      <c r="I29" s="908"/>
    </row>
    <row r="30" spans="1:14" ht="15.75">
      <c r="A30" s="1637" t="s">
        <v>1228</v>
      </c>
      <c r="B30" s="1638"/>
      <c r="C30" s="1638"/>
      <c r="D30" s="1638"/>
      <c r="E30" s="1639"/>
      <c r="F30" s="179">
        <v>1</v>
      </c>
      <c r="G30" s="179">
        <v>13.85</v>
      </c>
      <c r="H30" s="1072"/>
      <c r="I30" s="908"/>
    </row>
    <row r="31" spans="1:14" ht="15.75">
      <c r="A31" s="1130"/>
      <c r="B31" s="1125"/>
      <c r="C31" s="1125"/>
      <c r="D31" s="1125"/>
      <c r="E31" s="1126"/>
      <c r="F31" s="179"/>
      <c r="G31" s="179">
        <v>0.75</v>
      </c>
      <c r="H31" s="1072"/>
      <c r="I31" s="908"/>
    </row>
    <row r="32" spans="1:14" ht="15.75">
      <c r="A32" s="1130"/>
      <c r="B32" s="1125"/>
      <c r="C32" s="1125"/>
      <c r="D32" s="1125"/>
      <c r="E32" s="1126"/>
      <c r="F32" s="179"/>
      <c r="G32" s="1080">
        <v>0.25</v>
      </c>
      <c r="H32" s="1080">
        <f>G32*G31*G30</f>
        <v>2.5968749999999998</v>
      </c>
      <c r="I32" s="908" t="s">
        <v>141</v>
      </c>
    </row>
    <row r="33" spans="1:9" ht="15.75">
      <c r="A33" s="1142"/>
      <c r="B33" s="1136"/>
      <c r="C33" s="1136"/>
      <c r="D33" s="1136"/>
      <c r="E33" s="1137"/>
      <c r="F33" s="179"/>
      <c r="G33" s="179"/>
      <c r="H33" s="1072"/>
      <c r="I33" s="908"/>
    </row>
    <row r="34" spans="1:9" ht="15.75">
      <c r="A34" s="1142"/>
      <c r="B34" s="1136"/>
      <c r="C34" s="1136"/>
      <c r="D34" s="1136"/>
      <c r="E34" s="1137"/>
      <c r="F34" s="179">
        <v>2</v>
      </c>
      <c r="G34" s="179">
        <v>2.2000000000000002</v>
      </c>
      <c r="H34" s="1072"/>
      <c r="I34" s="908"/>
    </row>
    <row r="35" spans="1:9" ht="15.75">
      <c r="A35" s="1142"/>
      <c r="B35" s="1136"/>
      <c r="C35" s="1136"/>
      <c r="D35" s="1136"/>
      <c r="E35" s="1137"/>
      <c r="F35" s="179"/>
      <c r="G35" s="179">
        <v>5.15</v>
      </c>
      <c r="H35" s="1072"/>
      <c r="I35" s="908"/>
    </row>
    <row r="36" spans="1:9" ht="15.75">
      <c r="A36" s="1142"/>
      <c r="B36" s="1136"/>
      <c r="C36" s="1136"/>
      <c r="D36" s="1136"/>
      <c r="E36" s="1137"/>
      <c r="F36" s="179"/>
      <c r="G36" s="1080">
        <v>0.25</v>
      </c>
      <c r="H36" s="1080">
        <f>G36*G35*G34*F34</f>
        <v>5.6650000000000009</v>
      </c>
      <c r="I36" s="908" t="s">
        <v>141</v>
      </c>
    </row>
    <row r="37" spans="1:9" ht="16.5" thickBot="1">
      <c r="A37" s="1142"/>
      <c r="B37" s="1136"/>
      <c r="C37" s="1136"/>
      <c r="D37" s="1136"/>
      <c r="E37" s="1137"/>
      <c r="F37" s="179"/>
      <c r="G37" s="179"/>
      <c r="H37" s="1134">
        <f>H36+H32</f>
        <v>8.2618749999999999</v>
      </c>
      <c r="I37" s="908" t="s">
        <v>1230</v>
      </c>
    </row>
    <row r="38" spans="1:9" ht="16.5" thickTop="1">
      <c r="A38" s="1142"/>
      <c r="B38" s="1136"/>
      <c r="C38" s="1136"/>
      <c r="D38" s="1136"/>
      <c r="E38" s="1137"/>
      <c r="F38" s="179"/>
      <c r="G38" s="179"/>
      <c r="H38" s="1072"/>
      <c r="I38" s="908"/>
    </row>
    <row r="39" spans="1:9" ht="15.75">
      <c r="A39" s="1637" t="s">
        <v>1232</v>
      </c>
      <c r="B39" s="1638"/>
      <c r="C39" s="1638"/>
      <c r="D39" s="1638"/>
      <c r="E39" s="1639"/>
      <c r="F39" s="179">
        <v>1</v>
      </c>
      <c r="G39" s="179">
        <v>4.0999999999999996</v>
      </c>
      <c r="H39" s="1072"/>
      <c r="I39" s="908"/>
    </row>
    <row r="40" spans="1:9" ht="15.75">
      <c r="A40" s="1130"/>
      <c r="B40" s="1125"/>
      <c r="C40" s="1125"/>
      <c r="D40" s="1125"/>
      <c r="E40" s="1126"/>
      <c r="F40" s="179"/>
      <c r="G40" s="179">
        <v>1.1000000000000001</v>
      </c>
      <c r="H40" s="1072"/>
      <c r="I40" s="908"/>
    </row>
    <row r="41" spans="1:9" ht="16.5" thickBot="1">
      <c r="A41" s="1130"/>
      <c r="B41" s="1125"/>
      <c r="C41" s="1125"/>
      <c r="D41" s="1125"/>
      <c r="E41" s="1126"/>
      <c r="F41" s="179"/>
      <c r="G41" s="1080">
        <v>0.4</v>
      </c>
      <c r="H41" s="1073">
        <f>G41*G40*G39*F39</f>
        <v>1.804</v>
      </c>
      <c r="I41" s="908" t="s">
        <v>1233</v>
      </c>
    </row>
    <row r="42" spans="1:9" ht="24" customHeight="1" thickTop="1">
      <c r="A42" s="1142"/>
      <c r="B42" s="1136"/>
      <c r="C42" s="1136"/>
      <c r="D42" s="1136"/>
      <c r="E42" s="1137"/>
      <c r="F42" s="179"/>
      <c r="G42" s="179"/>
      <c r="H42" s="1075"/>
      <c r="I42" s="908"/>
    </row>
    <row r="43" spans="1:9" ht="30" customHeight="1">
      <c r="A43" s="1640" t="s">
        <v>741</v>
      </c>
      <c r="B43" s="1641"/>
      <c r="C43" s="1641"/>
      <c r="D43" s="1136"/>
      <c r="E43" s="1137"/>
      <c r="F43" s="179"/>
      <c r="G43" s="179"/>
      <c r="H43" s="1075"/>
      <c r="I43" s="908"/>
    </row>
    <row r="44" spans="1:9" ht="15.75">
      <c r="A44" s="1645" t="s">
        <v>724</v>
      </c>
      <c r="B44" s="1646"/>
      <c r="C44" s="1646"/>
      <c r="D44" s="1646"/>
      <c r="E44" s="1647"/>
      <c r="F44" s="179">
        <v>8</v>
      </c>
      <c r="G44" s="179">
        <v>3.35</v>
      </c>
      <c r="H44" s="1075"/>
      <c r="I44" s="908"/>
    </row>
    <row r="45" spans="1:9" ht="16.5" thickBot="1">
      <c r="A45" s="1142"/>
      <c r="B45" s="1136"/>
      <c r="C45" s="1136"/>
      <c r="D45" s="1136"/>
      <c r="E45" s="1137"/>
      <c r="F45" s="179"/>
      <c r="G45" s="1080">
        <v>0.95</v>
      </c>
      <c r="H45" s="1073">
        <f>G45*G44*F44</f>
        <v>25.46</v>
      </c>
      <c r="I45" s="908" t="s">
        <v>842</v>
      </c>
    </row>
    <row r="46" spans="1:9" ht="16.5" thickTop="1">
      <c r="A46" s="1142"/>
      <c r="B46" s="1136"/>
      <c r="C46" s="1136"/>
      <c r="D46" s="1136"/>
      <c r="E46" s="1137"/>
      <c r="F46" s="179"/>
      <c r="G46" s="179"/>
      <c r="H46" s="1075"/>
      <c r="I46" s="908"/>
    </row>
    <row r="47" spans="1:9" ht="15.75">
      <c r="A47" s="1637" t="s">
        <v>726</v>
      </c>
      <c r="B47" s="1638"/>
      <c r="C47" s="1638"/>
      <c r="D47" s="1638"/>
      <c r="E47" s="1639"/>
      <c r="F47" s="179">
        <v>4</v>
      </c>
      <c r="G47" s="179">
        <v>5.5</v>
      </c>
      <c r="H47" s="1075"/>
      <c r="I47" s="908"/>
    </row>
    <row r="48" spans="1:9" ht="15.75">
      <c r="A48" s="1142"/>
      <c r="B48" s="1136"/>
      <c r="C48" s="1136"/>
      <c r="D48" s="1136"/>
      <c r="E48" s="1137"/>
      <c r="F48" s="179"/>
      <c r="G48" s="1080">
        <v>1.35</v>
      </c>
      <c r="H48" s="1149">
        <f>G48*G47*F47</f>
        <v>29.700000000000003</v>
      </c>
      <c r="I48" s="908" t="s">
        <v>842</v>
      </c>
    </row>
    <row r="49" spans="1:9">
      <c r="F49" s="179"/>
      <c r="G49" s="179"/>
      <c r="H49" s="1075"/>
      <c r="I49" s="908"/>
    </row>
    <row r="50" spans="1:9" ht="15.75">
      <c r="A50" s="1637" t="s">
        <v>1227</v>
      </c>
      <c r="B50" s="1638"/>
      <c r="C50" s="1638"/>
      <c r="D50" s="1638"/>
      <c r="E50" s="1639"/>
      <c r="F50" s="179">
        <v>4</v>
      </c>
      <c r="G50" s="179">
        <v>5.9</v>
      </c>
      <c r="H50" s="1075"/>
      <c r="I50" s="908"/>
    </row>
    <row r="51" spans="1:9" ht="15.75">
      <c r="A51" s="1142"/>
      <c r="B51" s="1136"/>
      <c r="C51" s="1136"/>
      <c r="D51" s="1136"/>
      <c r="E51" s="1137"/>
      <c r="F51" s="179"/>
      <c r="G51" s="1080">
        <v>7.2</v>
      </c>
      <c r="H51" s="1080">
        <f>G51*G50*F50</f>
        <v>169.92000000000002</v>
      </c>
      <c r="I51" s="908" t="s">
        <v>842</v>
      </c>
    </row>
    <row r="52" spans="1:9" ht="15.75">
      <c r="A52" s="1142"/>
      <c r="B52" s="1136"/>
      <c r="C52" s="1136"/>
      <c r="D52" s="1136"/>
      <c r="E52" s="1137"/>
      <c r="F52" s="179"/>
      <c r="G52" s="179"/>
      <c r="H52" s="1075"/>
      <c r="I52" s="908"/>
    </row>
    <row r="53" spans="1:9" ht="15.75">
      <c r="A53" s="1142"/>
      <c r="B53" s="1136"/>
      <c r="C53" s="1136"/>
      <c r="D53" s="1136"/>
      <c r="E53" s="1137"/>
      <c r="F53" s="179">
        <v>2</v>
      </c>
      <c r="G53" s="179">
        <v>11.83</v>
      </c>
      <c r="H53" s="1075"/>
      <c r="I53" s="908"/>
    </row>
    <row r="54" spans="1:9" ht="15.75">
      <c r="A54" s="1142"/>
      <c r="B54" s="1136"/>
      <c r="C54" s="1136"/>
      <c r="D54" s="1136"/>
      <c r="E54" s="1137"/>
      <c r="F54" s="179"/>
      <c r="G54" s="1080">
        <v>1.5249999999999999</v>
      </c>
      <c r="H54" s="1080">
        <f>G54*G53*F53</f>
        <v>36.081499999999998</v>
      </c>
      <c r="I54" s="908" t="s">
        <v>842</v>
      </c>
    </row>
    <row r="55" spans="1:9" ht="15.75">
      <c r="A55" s="1142"/>
      <c r="B55" s="1136"/>
      <c r="C55" s="1136"/>
      <c r="D55" s="1136"/>
      <c r="E55" s="1137"/>
      <c r="F55" s="179"/>
      <c r="G55" s="179"/>
      <c r="H55" s="193">
        <f>H54+H51</f>
        <v>206.00150000000002</v>
      </c>
      <c r="I55" s="908" t="s">
        <v>842</v>
      </c>
    </row>
    <row r="56" spans="1:9" ht="16.5" thickBot="1">
      <c r="A56" s="1142"/>
      <c r="B56" s="1136"/>
      <c r="C56" s="1136"/>
      <c r="D56" s="1136"/>
      <c r="E56" s="1137"/>
      <c r="F56" s="179"/>
      <c r="G56" s="179"/>
      <c r="H56" s="1134">
        <f>H55+H48</f>
        <v>235.70150000000001</v>
      </c>
      <c r="I56" s="908" t="s">
        <v>1238</v>
      </c>
    </row>
    <row r="57" spans="1:9" ht="16.5" thickTop="1">
      <c r="A57" s="1637" t="s">
        <v>1228</v>
      </c>
      <c r="B57" s="1638"/>
      <c r="C57" s="1638"/>
      <c r="D57" s="1638"/>
      <c r="E57" s="1639"/>
      <c r="F57" s="179">
        <v>1</v>
      </c>
      <c r="G57" s="179">
        <v>13.85</v>
      </c>
      <c r="H57" s="1075"/>
      <c r="I57" s="908"/>
    </row>
    <row r="58" spans="1:9" ht="15.75">
      <c r="A58" s="1142"/>
      <c r="B58" s="1136"/>
      <c r="C58" s="1136"/>
      <c r="D58" s="1136"/>
      <c r="E58" s="1137"/>
      <c r="F58" s="179"/>
      <c r="G58" s="1080">
        <v>0.75</v>
      </c>
      <c r="H58" s="1080">
        <f>G58*G57</f>
        <v>10.387499999999999</v>
      </c>
      <c r="I58" s="908" t="s">
        <v>842</v>
      </c>
    </row>
    <row r="59" spans="1:9" ht="15.75">
      <c r="A59" s="1142"/>
      <c r="B59" s="1136"/>
      <c r="C59" s="1136"/>
      <c r="D59" s="1136"/>
      <c r="E59" s="1137"/>
      <c r="F59" s="179"/>
      <c r="G59" s="179"/>
      <c r="H59" s="1075"/>
      <c r="I59" s="908"/>
    </row>
    <row r="60" spans="1:9" ht="15.75">
      <c r="A60" s="1142"/>
      <c r="B60" s="1136"/>
      <c r="C60" s="1136"/>
      <c r="D60" s="1136"/>
      <c r="E60" s="1137"/>
      <c r="F60" s="179">
        <v>2</v>
      </c>
      <c r="G60" s="179">
        <v>2.2000000000000002</v>
      </c>
      <c r="H60" s="1075"/>
      <c r="I60" s="908"/>
    </row>
    <row r="61" spans="1:9" ht="15.75">
      <c r="A61" s="1142"/>
      <c r="B61" s="1136"/>
      <c r="C61" s="1136"/>
      <c r="D61" s="1136"/>
      <c r="E61" s="1137"/>
      <c r="F61" s="179"/>
      <c r="G61" s="1080">
        <v>5.15</v>
      </c>
      <c r="H61" s="1080">
        <f>G61*G60*F60</f>
        <v>22.660000000000004</v>
      </c>
      <c r="I61" s="908" t="s">
        <v>842</v>
      </c>
    </row>
    <row r="62" spans="1:9" ht="15.75">
      <c r="A62" s="1142"/>
      <c r="B62" s="1136"/>
      <c r="C62" s="1136"/>
      <c r="D62" s="1136"/>
      <c r="E62" s="1137"/>
      <c r="F62" s="179"/>
      <c r="G62" s="179"/>
      <c r="H62" s="193">
        <f>H61+H58</f>
        <v>33.047499999999999</v>
      </c>
      <c r="I62" s="908" t="s">
        <v>842</v>
      </c>
    </row>
    <row r="63" spans="1:9" ht="15.75">
      <c r="A63" s="1637" t="s">
        <v>1232</v>
      </c>
      <c r="B63" s="1638"/>
      <c r="C63" s="1638"/>
      <c r="D63" s="1638"/>
      <c r="E63" s="1639"/>
      <c r="F63" s="179"/>
      <c r="G63" s="179"/>
      <c r="H63" s="1072"/>
      <c r="I63" s="908"/>
    </row>
    <row r="64" spans="1:9" ht="15.75">
      <c r="A64" s="1146"/>
      <c r="B64" s="1147"/>
      <c r="C64" s="1147"/>
      <c r="D64" s="1147"/>
      <c r="E64" s="1148"/>
      <c r="F64" s="179">
        <v>1</v>
      </c>
      <c r="G64" s="179">
        <v>4.0999999999999996</v>
      </c>
      <c r="H64" s="1072"/>
      <c r="I64" s="908"/>
    </row>
    <row r="65" spans="1:9" ht="15.75">
      <c r="A65" s="1146"/>
      <c r="B65" s="1147"/>
      <c r="C65" s="1147"/>
      <c r="D65" s="1147"/>
      <c r="E65" s="1148"/>
      <c r="F65" s="179"/>
      <c r="G65" s="1080">
        <v>1.1000000000000001</v>
      </c>
      <c r="H65" s="1149">
        <f>G65*G64*F64</f>
        <v>4.51</v>
      </c>
      <c r="I65" s="908" t="s">
        <v>842</v>
      </c>
    </row>
    <row r="66" spans="1:9" ht="16.5" thickBot="1">
      <c r="A66" s="1146"/>
      <c r="B66" s="1147"/>
      <c r="C66" s="1147"/>
      <c r="D66" s="1147"/>
      <c r="E66" s="1148"/>
      <c r="F66" s="179"/>
      <c r="G66" s="179"/>
      <c r="H66" s="1134">
        <f>H65+H62</f>
        <v>37.557499999999997</v>
      </c>
      <c r="I66" s="908" t="s">
        <v>1239</v>
      </c>
    </row>
    <row r="67" spans="1:9" ht="32.25" customHeight="1" thickTop="1">
      <c r="A67" s="1640" t="s">
        <v>1234</v>
      </c>
      <c r="B67" s="1641"/>
      <c r="C67" s="1641"/>
      <c r="D67" s="1147"/>
      <c r="E67" s="1148"/>
      <c r="F67" s="179"/>
      <c r="G67" s="179"/>
      <c r="H67" s="1072"/>
      <c r="I67" s="908"/>
    </row>
    <row r="68" spans="1:9" ht="15.75">
      <c r="A68" s="1637" t="s">
        <v>1236</v>
      </c>
      <c r="B68" s="1638"/>
      <c r="C68" s="1638"/>
      <c r="D68" s="1638"/>
      <c r="E68" s="1639"/>
      <c r="F68" s="179">
        <v>1</v>
      </c>
      <c r="G68" s="179">
        <v>1</v>
      </c>
      <c r="H68" s="1149">
        <v>188.37</v>
      </c>
      <c r="I68" s="908" t="s">
        <v>103</v>
      </c>
    </row>
    <row r="69" spans="1:9" ht="15.75">
      <c r="A69" s="1637" t="s">
        <v>1235</v>
      </c>
      <c r="B69" s="1638"/>
      <c r="C69" s="1638"/>
      <c r="D69" s="1638"/>
      <c r="E69" s="1639"/>
      <c r="F69" s="179">
        <v>1</v>
      </c>
      <c r="G69" s="179">
        <v>1</v>
      </c>
      <c r="H69" s="193">
        <v>1538.13</v>
      </c>
      <c r="I69" s="908" t="s">
        <v>103</v>
      </c>
    </row>
    <row r="70" spans="1:9" ht="16.5" thickBot="1">
      <c r="A70" s="1146"/>
      <c r="B70" s="1147"/>
      <c r="C70" s="1147"/>
      <c r="D70" s="1147"/>
      <c r="E70" s="1148"/>
      <c r="F70" s="179"/>
      <c r="G70" s="179"/>
      <c r="H70" s="1073">
        <f>H69+H68</f>
        <v>1726.5</v>
      </c>
      <c r="I70" s="908" t="s">
        <v>103</v>
      </c>
    </row>
    <row r="71" spans="1:9" ht="17.25" thickTop="1" thickBot="1">
      <c r="A71" s="1637" t="s">
        <v>1285</v>
      </c>
      <c r="B71" s="1638"/>
      <c r="C71" s="1638"/>
      <c r="D71" s="1638"/>
      <c r="E71" s="1639"/>
      <c r="F71" s="179">
        <v>1</v>
      </c>
      <c r="G71" s="179">
        <v>1</v>
      </c>
      <c r="H71" s="1076">
        <v>1861.3</v>
      </c>
      <c r="I71" s="908" t="s">
        <v>103</v>
      </c>
    </row>
    <row r="72" spans="1:9" ht="17.25" thickTop="1" thickBot="1">
      <c r="A72" s="1637" t="s">
        <v>1284</v>
      </c>
      <c r="B72" s="1638"/>
      <c r="C72" s="1638"/>
      <c r="D72" s="1638"/>
      <c r="E72" s="1639"/>
      <c r="F72" s="179">
        <v>1</v>
      </c>
      <c r="G72" s="179">
        <v>1</v>
      </c>
      <c r="H72" s="1076">
        <v>1693.13</v>
      </c>
      <c r="I72" s="908" t="s">
        <v>103</v>
      </c>
    </row>
    <row r="73" spans="1:9" ht="16.5" thickTop="1">
      <c r="A73" s="1146"/>
      <c r="B73" s="1147"/>
      <c r="C73" s="1147"/>
      <c r="D73" s="1147"/>
      <c r="E73" s="1148"/>
      <c r="F73" s="179"/>
      <c r="G73" s="179"/>
      <c r="H73" s="1072"/>
      <c r="I73" s="908"/>
    </row>
    <row r="74" spans="1:9" ht="35.25" customHeight="1">
      <c r="A74" s="1621" t="s">
        <v>1165</v>
      </c>
      <c r="B74" s="1450"/>
      <c r="C74" s="1450"/>
      <c r="D74" s="1450"/>
      <c r="E74" s="1451"/>
      <c r="F74" s="179"/>
      <c r="G74" s="179"/>
      <c r="H74" s="1072"/>
      <c r="I74" s="908"/>
    </row>
    <row r="75" spans="1:9" ht="15.75">
      <c r="A75" s="1140"/>
      <c r="B75" s="1138"/>
      <c r="C75" s="1138"/>
      <c r="D75" s="1138"/>
      <c r="E75" s="1139"/>
      <c r="F75" s="179">
        <v>2</v>
      </c>
      <c r="G75" s="1080">
        <v>5.8</v>
      </c>
      <c r="H75" s="1080">
        <f>G75*F75</f>
        <v>11.6</v>
      </c>
      <c r="I75" s="908"/>
    </row>
    <row r="76" spans="1:9" ht="15.75">
      <c r="A76" s="1140"/>
      <c r="B76" s="1138"/>
      <c r="C76" s="1138"/>
      <c r="D76" s="1138"/>
      <c r="E76" s="1139"/>
      <c r="F76" s="179">
        <v>2</v>
      </c>
      <c r="G76" s="188">
        <v>1.75</v>
      </c>
      <c r="H76" s="188">
        <f>G76*F76</f>
        <v>3.5</v>
      </c>
      <c r="I76" s="908"/>
    </row>
    <row r="77" spans="1:9" ht="16.5" thickBot="1">
      <c r="A77" s="1140"/>
      <c r="B77" s="1138"/>
      <c r="C77" s="1138"/>
      <c r="D77" s="1138"/>
      <c r="E77" s="1139"/>
      <c r="F77" s="179"/>
      <c r="G77" s="179"/>
      <c r="H77" s="1134">
        <f>H76+H75</f>
        <v>15.1</v>
      </c>
      <c r="I77" s="908" t="s">
        <v>484</v>
      </c>
    </row>
    <row r="78" spans="1:9" ht="16.5" thickTop="1">
      <c r="A78" s="1130"/>
      <c r="B78" s="1125"/>
      <c r="C78" s="1125"/>
      <c r="D78" s="1125"/>
      <c r="E78" s="1126"/>
      <c r="F78" s="179"/>
      <c r="G78" s="179"/>
      <c r="H78" s="1072"/>
      <c r="I78" s="908"/>
    </row>
    <row r="79" spans="1:9">
      <c r="A79" s="907"/>
      <c r="B79" s="180"/>
      <c r="C79" s="180"/>
      <c r="D79" s="180"/>
      <c r="E79" s="180"/>
      <c r="F79" s="180"/>
      <c r="G79" s="180"/>
      <c r="H79" s="181"/>
      <c r="I79" s="908"/>
    </row>
    <row r="80" spans="1:9">
      <c r="A80" s="930"/>
      <c r="B80" s="189" t="s">
        <v>10</v>
      </c>
      <c r="C80" s="189" t="s">
        <v>18</v>
      </c>
      <c r="D80" s="190" t="s">
        <v>19</v>
      </c>
      <c r="E80" s="191"/>
      <c r="F80" s="191"/>
      <c r="G80" s="191"/>
      <c r="H80" s="192"/>
      <c r="I80" s="917"/>
    </row>
    <row r="81" spans="1:9">
      <c r="A81" s="916" t="s">
        <v>15</v>
      </c>
      <c r="B81" s="188"/>
      <c r="C81" s="188"/>
      <c r="D81" s="194"/>
      <c r="E81" s="191"/>
      <c r="F81" s="191"/>
      <c r="G81" s="191"/>
      <c r="H81" s="192"/>
      <c r="I81" s="917"/>
    </row>
    <row r="82" spans="1:9">
      <c r="A82" s="916" t="s">
        <v>16</v>
      </c>
      <c r="B82" s="188"/>
      <c r="C82" s="188"/>
      <c r="D82" s="194"/>
      <c r="E82" s="191"/>
      <c r="F82" s="191"/>
      <c r="G82" s="191"/>
      <c r="H82" s="192"/>
      <c r="I82" s="917"/>
    </row>
    <row r="83" spans="1:9" ht="15.75" thickBot="1">
      <c r="A83" s="918" t="s">
        <v>553</v>
      </c>
      <c r="B83" s="919"/>
      <c r="C83" s="919"/>
      <c r="D83" s="920"/>
      <c r="E83" s="921"/>
      <c r="F83" s="921"/>
      <c r="G83" s="921"/>
      <c r="H83" s="1143"/>
      <c r="I83" s="922"/>
    </row>
  </sheetData>
  <mergeCells count="21">
    <mergeCell ref="A44:E44"/>
    <mergeCell ref="A47:E47"/>
    <mergeCell ref="A50:E50"/>
    <mergeCell ref="A57:E57"/>
    <mergeCell ref="A17:E17"/>
    <mergeCell ref="A21:E21"/>
    <mergeCell ref="A30:E30"/>
    <mergeCell ref="A39:E39"/>
    <mergeCell ref="A43:C43"/>
    <mergeCell ref="A3:B3"/>
    <mergeCell ref="C3:E4"/>
    <mergeCell ref="D7:E7"/>
    <mergeCell ref="A12:E12"/>
    <mergeCell ref="A13:E13"/>
    <mergeCell ref="A74:E74"/>
    <mergeCell ref="A63:E63"/>
    <mergeCell ref="A67:C67"/>
    <mergeCell ref="A68:E68"/>
    <mergeCell ref="A72:E72"/>
    <mergeCell ref="A69:E69"/>
    <mergeCell ref="A71:E71"/>
  </mergeCells>
  <printOptions horizontalCentered="1" verticalCentered="1"/>
  <pageMargins left="0" right="0" top="0" bottom="0" header="0.31496062992125984" footer="0.31496062992125984"/>
  <pageSetup paperSize="9" scale="61" fitToHeight="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22"/>
  <sheetViews>
    <sheetView view="pageBreakPreview" topLeftCell="A17" zoomScale="75" zoomScaleNormal="66" zoomScaleSheetLayoutView="75" workbookViewId="0">
      <selection activeCell="J39" sqref="J39"/>
    </sheetView>
  </sheetViews>
  <sheetFormatPr defaultRowHeight="18.75"/>
  <cols>
    <col min="1" max="1" width="5.7109375" style="831" customWidth="1"/>
    <col min="2" max="2" width="10.5703125" style="831" customWidth="1"/>
    <col min="3" max="3" width="21.42578125" style="831" customWidth="1"/>
    <col min="4" max="4" width="25.42578125" style="831" customWidth="1"/>
    <col min="5" max="5" width="9.85546875" style="831" customWidth="1"/>
    <col min="6" max="6" width="9.7109375" style="831" bestFit="1" customWidth="1"/>
    <col min="7" max="7" width="11.140625" style="831" bestFit="1" customWidth="1"/>
    <col min="8" max="8" width="12.5703125" style="831" bestFit="1" customWidth="1"/>
    <col min="9" max="9" width="11.28515625" style="831" customWidth="1"/>
    <col min="10" max="10" width="12.7109375" style="831" customWidth="1"/>
    <col min="11" max="12" width="11.28515625" style="831" customWidth="1"/>
    <col min="13" max="13" width="13" style="831" customWidth="1"/>
    <col min="14" max="14" width="11.85546875" style="831" customWidth="1"/>
    <col min="15" max="15" width="12.140625" style="831" customWidth="1"/>
    <col min="16" max="16" width="11.42578125" style="831" customWidth="1"/>
    <col min="17" max="16384" width="9.140625" style="831"/>
  </cols>
  <sheetData>
    <row r="1" spans="1:16" ht="25.5">
      <c r="A1" s="1669" t="s">
        <v>0</v>
      </c>
      <c r="B1" s="1669"/>
      <c r="C1" s="867" t="s">
        <v>552</v>
      </c>
      <c r="D1" s="864"/>
      <c r="E1" s="863"/>
      <c r="F1" s="863"/>
    </row>
    <row r="2" spans="1:16">
      <c r="A2" s="864" t="s">
        <v>2</v>
      </c>
      <c r="B2" s="866"/>
      <c r="C2" s="864" t="s">
        <v>490</v>
      </c>
      <c r="D2" s="864"/>
    </row>
    <row r="3" spans="1:16">
      <c r="A3" s="1670" t="s">
        <v>1156</v>
      </c>
      <c r="B3" s="1670"/>
      <c r="C3" s="865" t="s">
        <v>1155</v>
      </c>
    </row>
    <row r="4" spans="1:16">
      <c r="A4" s="1670" t="s">
        <v>1154</v>
      </c>
      <c r="B4" s="1670"/>
      <c r="C4" s="865" t="s">
        <v>1153</v>
      </c>
    </row>
    <row r="5" spans="1:16" ht="19.5" thickBot="1">
      <c r="A5" s="865"/>
      <c r="B5" s="864"/>
      <c r="C5" s="865"/>
    </row>
    <row r="6" spans="1:16" ht="15.75" customHeight="1">
      <c r="A6" s="862"/>
      <c r="B6" s="1656" t="s">
        <v>1151</v>
      </c>
      <c r="C6" s="1658" t="s">
        <v>73</v>
      </c>
      <c r="D6" s="1660" t="s">
        <v>74</v>
      </c>
      <c r="E6" s="1662" t="s">
        <v>1150</v>
      </c>
      <c r="F6" s="1664" t="s">
        <v>1149</v>
      </c>
      <c r="G6" s="861" t="s">
        <v>75</v>
      </c>
      <c r="H6" s="860" t="s">
        <v>1148</v>
      </c>
      <c r="I6" s="1666" t="s">
        <v>1147</v>
      </c>
      <c r="J6" s="1667"/>
      <c r="K6" s="1667"/>
      <c r="L6" s="1667"/>
      <c r="M6" s="1667"/>
      <c r="N6" s="1667"/>
      <c r="O6" s="1667"/>
      <c r="P6" s="1668"/>
    </row>
    <row r="7" spans="1:16" ht="19.5" thickBot="1">
      <c r="A7" s="859"/>
      <c r="B7" s="1657"/>
      <c r="C7" s="1659"/>
      <c r="D7" s="1661"/>
      <c r="E7" s="1663"/>
      <c r="F7" s="1665"/>
      <c r="G7" s="858" t="s">
        <v>1146</v>
      </c>
      <c r="H7" s="857" t="s">
        <v>1145</v>
      </c>
      <c r="I7" s="856">
        <v>6</v>
      </c>
      <c r="J7" s="856">
        <v>8</v>
      </c>
      <c r="K7" s="856">
        <v>10</v>
      </c>
      <c r="L7" s="856">
        <v>12</v>
      </c>
      <c r="M7" s="856">
        <v>14</v>
      </c>
      <c r="N7" s="856">
        <v>16</v>
      </c>
      <c r="O7" s="856">
        <v>20</v>
      </c>
      <c r="P7" s="855">
        <v>24</v>
      </c>
    </row>
    <row r="8" spans="1:16" ht="24" customHeight="1" thickTop="1">
      <c r="A8" s="853"/>
      <c r="B8" s="1648" t="s">
        <v>555</v>
      </c>
      <c r="C8" s="1649"/>
      <c r="D8" s="1650"/>
      <c r="E8" s="844"/>
      <c r="F8" s="844"/>
      <c r="G8" s="844"/>
      <c r="H8" s="844"/>
      <c r="I8" s="844"/>
      <c r="J8" s="844"/>
      <c r="K8" s="844"/>
      <c r="L8" s="844"/>
      <c r="M8" s="844"/>
      <c r="N8" s="844"/>
      <c r="O8" s="844"/>
      <c r="P8" s="843"/>
    </row>
    <row r="9" spans="1:16" ht="19.5">
      <c r="A9" s="853"/>
      <c r="B9" s="852">
        <v>1</v>
      </c>
      <c r="D9" s="851"/>
      <c r="E9" s="844">
        <v>20</v>
      </c>
      <c r="F9" s="844">
        <v>12</v>
      </c>
      <c r="G9" s="844">
        <v>1</v>
      </c>
      <c r="H9" s="844">
        <v>129</v>
      </c>
      <c r="I9" s="844" t="str">
        <f t="shared" ref="I9:I23" si="0">IF(E9=6,F9*G9*H9,"""")</f>
        <v>"</v>
      </c>
      <c r="J9" s="844" t="str">
        <f t="shared" ref="J9:J23" si="1">IF(E9=8,F9*G9*H9,"""")</f>
        <v>"</v>
      </c>
      <c r="K9" s="844" t="str">
        <f t="shared" ref="K9:K23" si="2">IF(E9=10,F9*G9*H9,"""")</f>
        <v>"</v>
      </c>
      <c r="L9" s="844" t="str">
        <f t="shared" ref="L9:L23" si="3">IF(E9=12,F9*G9*H9,"""")</f>
        <v>"</v>
      </c>
      <c r="M9" s="844" t="str">
        <f t="shared" ref="M9:M23" si="4">IF(E9=14,F9*G9*H9,"""")</f>
        <v>"</v>
      </c>
      <c r="N9" s="844" t="str">
        <f t="shared" ref="N9:N23" si="5">IF(E9=16,F9*G9*H9,"""")</f>
        <v>"</v>
      </c>
      <c r="O9" s="844">
        <f t="shared" ref="O9:O23" si="6">IF(E9=20,F9*G9*H9,"""")</f>
        <v>1548</v>
      </c>
      <c r="P9" s="843" t="str">
        <f t="shared" ref="P9:P23" si="7">IF(E9=24,F9*G9*H9,"""")</f>
        <v>"</v>
      </c>
    </row>
    <row r="10" spans="1:16" ht="19.5">
      <c r="A10" s="853"/>
      <c r="B10" s="852" t="s">
        <v>1210</v>
      </c>
      <c r="C10" s="1111" t="s">
        <v>1211</v>
      </c>
      <c r="D10" s="851"/>
      <c r="E10" s="844">
        <v>20</v>
      </c>
      <c r="F10" s="844">
        <v>3.7</v>
      </c>
      <c r="G10" s="844">
        <v>1</v>
      </c>
      <c r="H10" s="844">
        <v>258</v>
      </c>
      <c r="I10" s="844" t="str">
        <f t="shared" si="0"/>
        <v>"</v>
      </c>
      <c r="J10" s="844" t="str">
        <f t="shared" si="1"/>
        <v>"</v>
      </c>
      <c r="K10" s="844" t="str">
        <f t="shared" si="2"/>
        <v>"</v>
      </c>
      <c r="L10" s="844" t="str">
        <f t="shared" si="3"/>
        <v>"</v>
      </c>
      <c r="M10" s="844" t="str">
        <f t="shared" si="4"/>
        <v>"</v>
      </c>
      <c r="N10" s="844" t="str">
        <f t="shared" si="5"/>
        <v>"</v>
      </c>
      <c r="O10" s="844">
        <f t="shared" si="6"/>
        <v>954.6</v>
      </c>
      <c r="P10" s="843" t="str">
        <f t="shared" si="7"/>
        <v>"</v>
      </c>
    </row>
    <row r="11" spans="1:16" ht="19.5">
      <c r="A11" s="853"/>
      <c r="B11" s="852">
        <v>2</v>
      </c>
      <c r="C11" s="1111" t="s">
        <v>1212</v>
      </c>
      <c r="D11" s="851"/>
      <c r="E11" s="844">
        <v>20</v>
      </c>
      <c r="F11" s="844">
        <v>2.38</v>
      </c>
      <c r="G11" s="844">
        <v>1</v>
      </c>
      <c r="H11" s="844">
        <v>129</v>
      </c>
      <c r="I11" s="844" t="str">
        <f t="shared" si="0"/>
        <v>"</v>
      </c>
      <c r="J11" s="844" t="str">
        <f t="shared" si="1"/>
        <v>"</v>
      </c>
      <c r="K11" s="844" t="str">
        <f t="shared" si="2"/>
        <v>"</v>
      </c>
      <c r="L11" s="844" t="str">
        <f t="shared" si="3"/>
        <v>"</v>
      </c>
      <c r="M11" s="844" t="str">
        <f t="shared" si="4"/>
        <v>"</v>
      </c>
      <c r="N11" s="844" t="str">
        <f t="shared" si="5"/>
        <v>"</v>
      </c>
      <c r="O11" s="844">
        <f t="shared" si="6"/>
        <v>307.02</v>
      </c>
      <c r="P11" s="843" t="str">
        <f t="shared" si="7"/>
        <v>"</v>
      </c>
    </row>
    <row r="12" spans="1:16" ht="19.5">
      <c r="A12" s="853"/>
      <c r="B12" s="852">
        <v>3</v>
      </c>
      <c r="C12" s="1111" t="s">
        <v>1213</v>
      </c>
      <c r="D12" s="851"/>
      <c r="E12" s="844">
        <v>20</v>
      </c>
      <c r="F12" s="844">
        <v>9.5</v>
      </c>
      <c r="G12" s="844">
        <v>1</v>
      </c>
      <c r="H12" s="844">
        <v>129</v>
      </c>
      <c r="I12" s="844" t="str">
        <f t="shared" si="0"/>
        <v>"</v>
      </c>
      <c r="J12" s="844" t="str">
        <f t="shared" si="1"/>
        <v>"</v>
      </c>
      <c r="K12" s="844" t="str">
        <f t="shared" si="2"/>
        <v>"</v>
      </c>
      <c r="L12" s="844" t="str">
        <f t="shared" si="3"/>
        <v>"</v>
      </c>
      <c r="M12" s="844" t="str">
        <f t="shared" si="4"/>
        <v>"</v>
      </c>
      <c r="N12" s="844" t="str">
        <f t="shared" si="5"/>
        <v>"</v>
      </c>
      <c r="O12" s="844">
        <f t="shared" si="6"/>
        <v>1225.5</v>
      </c>
      <c r="P12" s="843" t="str">
        <f t="shared" si="7"/>
        <v>"</v>
      </c>
    </row>
    <row r="13" spans="1:16" ht="20.25" customHeight="1">
      <c r="A13" s="853"/>
      <c r="B13" s="852">
        <v>6</v>
      </c>
      <c r="D13" s="851"/>
      <c r="E13" s="844">
        <v>10</v>
      </c>
      <c r="F13" s="844">
        <v>2.6</v>
      </c>
      <c r="G13" s="844">
        <v>1</v>
      </c>
      <c r="H13" s="844">
        <v>19</v>
      </c>
      <c r="I13" s="844" t="str">
        <f t="shared" si="0"/>
        <v>"</v>
      </c>
      <c r="J13" s="844" t="str">
        <f t="shared" si="1"/>
        <v>"</v>
      </c>
      <c r="K13" s="844">
        <f t="shared" si="2"/>
        <v>49.4</v>
      </c>
      <c r="L13" s="844" t="str">
        <f t="shared" si="3"/>
        <v>"</v>
      </c>
      <c r="M13" s="844" t="str">
        <f t="shared" si="4"/>
        <v>"</v>
      </c>
      <c r="N13" s="844" t="str">
        <f t="shared" si="5"/>
        <v>"</v>
      </c>
      <c r="O13" s="844" t="str">
        <f t="shared" si="6"/>
        <v>"</v>
      </c>
      <c r="P13" s="843" t="str">
        <f t="shared" si="7"/>
        <v>"</v>
      </c>
    </row>
    <row r="14" spans="1:16" ht="19.5">
      <c r="A14" s="853"/>
      <c r="B14" s="852">
        <v>7</v>
      </c>
      <c r="D14" s="851"/>
      <c r="E14" s="844">
        <v>10</v>
      </c>
      <c r="F14" s="844">
        <v>5.52</v>
      </c>
      <c r="G14" s="844">
        <v>1</v>
      </c>
      <c r="H14" s="844">
        <v>19</v>
      </c>
      <c r="I14" s="844" t="str">
        <f t="shared" si="0"/>
        <v>"</v>
      </c>
      <c r="J14" s="844" t="str">
        <f t="shared" si="1"/>
        <v>"</v>
      </c>
      <c r="K14" s="844">
        <f t="shared" si="2"/>
        <v>104.88</v>
      </c>
      <c r="L14" s="844" t="str">
        <f t="shared" si="3"/>
        <v>"</v>
      </c>
      <c r="M14" s="844" t="str">
        <f t="shared" si="4"/>
        <v>"</v>
      </c>
      <c r="N14" s="844" t="str">
        <f t="shared" si="5"/>
        <v>"</v>
      </c>
      <c r="O14" s="844" t="str">
        <f t="shared" si="6"/>
        <v>"</v>
      </c>
      <c r="P14" s="843" t="str">
        <f t="shared" si="7"/>
        <v>"</v>
      </c>
    </row>
    <row r="15" spans="1:16" ht="19.5">
      <c r="A15" s="853"/>
      <c r="B15" s="852">
        <v>8</v>
      </c>
      <c r="D15" s="851"/>
      <c r="E15" s="844">
        <v>10</v>
      </c>
      <c r="F15" s="844">
        <v>2.0299999999999998</v>
      </c>
      <c r="G15" s="844">
        <v>1</v>
      </c>
      <c r="H15" s="844">
        <v>286</v>
      </c>
      <c r="I15" s="844" t="str">
        <f t="shared" si="0"/>
        <v>"</v>
      </c>
      <c r="J15" s="844" t="str">
        <f t="shared" si="1"/>
        <v>"</v>
      </c>
      <c r="K15" s="844">
        <f t="shared" si="2"/>
        <v>580.57999999999993</v>
      </c>
      <c r="L15" s="844" t="str">
        <f t="shared" si="3"/>
        <v>"</v>
      </c>
      <c r="M15" s="844" t="str">
        <f t="shared" si="4"/>
        <v>"</v>
      </c>
      <c r="N15" s="844" t="str">
        <f t="shared" si="5"/>
        <v>"</v>
      </c>
      <c r="O15" s="844" t="str">
        <f t="shared" si="6"/>
        <v>"</v>
      </c>
      <c r="P15" s="843" t="str">
        <f t="shared" si="7"/>
        <v>"</v>
      </c>
    </row>
    <row r="16" spans="1:16" ht="19.5">
      <c r="A16" s="853"/>
      <c r="B16" s="852">
        <v>9</v>
      </c>
      <c r="D16" s="851"/>
      <c r="E16" s="844">
        <v>10</v>
      </c>
      <c r="F16" s="844">
        <v>1.68</v>
      </c>
      <c r="G16" s="844">
        <v>1</v>
      </c>
      <c r="H16" s="844">
        <v>19</v>
      </c>
      <c r="I16" s="844" t="str">
        <f t="shared" si="0"/>
        <v>"</v>
      </c>
      <c r="J16" s="844" t="str">
        <f t="shared" si="1"/>
        <v>"</v>
      </c>
      <c r="K16" s="844">
        <f t="shared" si="2"/>
        <v>31.919999999999998</v>
      </c>
      <c r="L16" s="844" t="str">
        <f t="shared" si="3"/>
        <v>"</v>
      </c>
      <c r="M16" s="844" t="str">
        <f t="shared" si="4"/>
        <v>"</v>
      </c>
      <c r="N16" s="844" t="str">
        <f t="shared" si="5"/>
        <v>"</v>
      </c>
      <c r="O16" s="844" t="str">
        <f t="shared" si="6"/>
        <v>"</v>
      </c>
      <c r="P16" s="843" t="str">
        <f t="shared" si="7"/>
        <v>"</v>
      </c>
    </row>
    <row r="17" spans="1:16" ht="19.5">
      <c r="A17" s="853"/>
      <c r="B17" s="852">
        <v>10</v>
      </c>
      <c r="D17" s="851"/>
      <c r="E17" s="844">
        <v>10</v>
      </c>
      <c r="F17" s="844">
        <v>2.1</v>
      </c>
      <c r="G17" s="844">
        <v>1</v>
      </c>
      <c r="H17" s="844">
        <v>19</v>
      </c>
      <c r="I17" s="844" t="str">
        <f t="shared" si="0"/>
        <v>"</v>
      </c>
      <c r="J17" s="844" t="str">
        <f t="shared" si="1"/>
        <v>"</v>
      </c>
      <c r="K17" s="844">
        <f t="shared" si="2"/>
        <v>39.9</v>
      </c>
      <c r="L17" s="844" t="str">
        <f t="shared" si="3"/>
        <v>"</v>
      </c>
      <c r="M17" s="844" t="str">
        <f t="shared" si="4"/>
        <v>"</v>
      </c>
      <c r="N17" s="844" t="str">
        <f t="shared" si="5"/>
        <v>"</v>
      </c>
      <c r="O17" s="844" t="str">
        <f t="shared" si="6"/>
        <v>"</v>
      </c>
      <c r="P17" s="843" t="str">
        <f t="shared" si="7"/>
        <v>"</v>
      </c>
    </row>
    <row r="18" spans="1:16" ht="19.5">
      <c r="A18" s="853"/>
      <c r="B18" s="852">
        <v>11</v>
      </c>
      <c r="D18" s="851"/>
      <c r="E18" s="844">
        <v>10</v>
      </c>
      <c r="F18" s="844">
        <v>4.05</v>
      </c>
      <c r="G18" s="844">
        <v>1</v>
      </c>
      <c r="H18" s="844">
        <v>56</v>
      </c>
      <c r="I18" s="844" t="str">
        <f t="shared" si="0"/>
        <v>"</v>
      </c>
      <c r="J18" s="844" t="str">
        <f t="shared" si="1"/>
        <v>"</v>
      </c>
      <c r="K18" s="844">
        <f t="shared" si="2"/>
        <v>226.79999999999998</v>
      </c>
      <c r="L18" s="844" t="str">
        <f t="shared" si="3"/>
        <v>"</v>
      </c>
      <c r="M18" s="844" t="str">
        <f t="shared" si="4"/>
        <v>"</v>
      </c>
      <c r="N18" s="844" t="str">
        <f t="shared" si="5"/>
        <v>"</v>
      </c>
      <c r="O18" s="844" t="str">
        <f t="shared" si="6"/>
        <v>"</v>
      </c>
      <c r="P18" s="843" t="str">
        <f t="shared" si="7"/>
        <v>"</v>
      </c>
    </row>
    <row r="19" spans="1:16" ht="19.5">
      <c r="A19" s="853"/>
      <c r="B19" s="852">
        <v>17</v>
      </c>
      <c r="D19" s="851"/>
      <c r="E19" s="844">
        <v>10</v>
      </c>
      <c r="F19" s="844">
        <v>3.3</v>
      </c>
      <c r="G19" s="844">
        <v>1</v>
      </c>
      <c r="H19" s="844">
        <v>214</v>
      </c>
      <c r="I19" s="844" t="str">
        <f t="shared" si="0"/>
        <v>"</v>
      </c>
      <c r="J19" s="844" t="str">
        <f t="shared" si="1"/>
        <v>"</v>
      </c>
      <c r="K19" s="844">
        <f t="shared" si="2"/>
        <v>706.19999999999993</v>
      </c>
      <c r="L19" s="844" t="str">
        <f t="shared" si="3"/>
        <v>"</v>
      </c>
      <c r="M19" s="844" t="str">
        <f t="shared" si="4"/>
        <v>"</v>
      </c>
      <c r="N19" s="844" t="str">
        <f t="shared" si="5"/>
        <v>"</v>
      </c>
      <c r="O19" s="844" t="str">
        <f t="shared" si="6"/>
        <v>"</v>
      </c>
      <c r="P19" s="843" t="str">
        <f t="shared" si="7"/>
        <v>"</v>
      </c>
    </row>
    <row r="20" spans="1:16" ht="19.5">
      <c r="A20" s="853"/>
      <c r="B20" s="852">
        <v>18</v>
      </c>
      <c r="D20" s="851"/>
      <c r="E20" s="844">
        <v>10</v>
      </c>
      <c r="F20" s="844">
        <v>6.15</v>
      </c>
      <c r="G20" s="844">
        <v>1</v>
      </c>
      <c r="H20" s="844">
        <v>214</v>
      </c>
      <c r="I20" s="844" t="str">
        <f t="shared" si="0"/>
        <v>"</v>
      </c>
      <c r="J20" s="844" t="str">
        <f t="shared" si="1"/>
        <v>"</v>
      </c>
      <c r="K20" s="844">
        <f t="shared" si="2"/>
        <v>1316.1000000000001</v>
      </c>
      <c r="L20" s="844" t="str">
        <f t="shared" si="3"/>
        <v>"</v>
      </c>
      <c r="M20" s="844" t="str">
        <f t="shared" si="4"/>
        <v>"</v>
      </c>
      <c r="N20" s="844" t="str">
        <f t="shared" si="5"/>
        <v>"</v>
      </c>
      <c r="O20" s="844" t="str">
        <f t="shared" si="6"/>
        <v>"</v>
      </c>
      <c r="P20" s="843" t="str">
        <f t="shared" si="7"/>
        <v>"</v>
      </c>
    </row>
    <row r="21" spans="1:16" ht="19.5">
      <c r="A21" s="853"/>
      <c r="B21" s="852">
        <v>19</v>
      </c>
      <c r="D21" s="851"/>
      <c r="E21" s="844">
        <v>10</v>
      </c>
      <c r="F21" s="844">
        <v>1.6</v>
      </c>
      <c r="G21" s="844">
        <v>1</v>
      </c>
      <c r="H21" s="844">
        <v>214</v>
      </c>
      <c r="I21" s="844" t="str">
        <f t="shared" si="0"/>
        <v>"</v>
      </c>
      <c r="J21" s="844" t="str">
        <f t="shared" si="1"/>
        <v>"</v>
      </c>
      <c r="K21" s="844">
        <f t="shared" si="2"/>
        <v>342.40000000000003</v>
      </c>
      <c r="L21" s="844" t="str">
        <f t="shared" si="3"/>
        <v>"</v>
      </c>
      <c r="M21" s="844" t="str">
        <f t="shared" si="4"/>
        <v>"</v>
      </c>
      <c r="N21" s="844" t="str">
        <f t="shared" si="5"/>
        <v>"</v>
      </c>
      <c r="O21" s="844" t="str">
        <f t="shared" si="6"/>
        <v>"</v>
      </c>
      <c r="P21" s="843" t="str">
        <f t="shared" si="7"/>
        <v>"</v>
      </c>
    </row>
    <row r="22" spans="1:16" ht="19.5">
      <c r="A22" s="853"/>
      <c r="B22" s="852">
        <v>20</v>
      </c>
      <c r="D22" s="851"/>
      <c r="E22" s="844">
        <v>10</v>
      </c>
      <c r="F22" s="844">
        <v>3.7</v>
      </c>
      <c r="G22" s="844">
        <v>1</v>
      </c>
      <c r="H22" s="844">
        <v>162</v>
      </c>
      <c r="I22" s="844" t="str">
        <f t="shared" si="0"/>
        <v>"</v>
      </c>
      <c r="J22" s="844" t="str">
        <f t="shared" si="1"/>
        <v>"</v>
      </c>
      <c r="K22" s="844">
        <f t="shared" si="2"/>
        <v>599.4</v>
      </c>
      <c r="L22" s="844" t="str">
        <f t="shared" si="3"/>
        <v>"</v>
      </c>
      <c r="M22" s="844" t="str">
        <f t="shared" si="4"/>
        <v>"</v>
      </c>
      <c r="N22" s="844" t="str">
        <f t="shared" si="5"/>
        <v>"</v>
      </c>
      <c r="O22" s="844" t="str">
        <f t="shared" si="6"/>
        <v>"</v>
      </c>
      <c r="P22" s="843" t="str">
        <f t="shared" si="7"/>
        <v>"</v>
      </c>
    </row>
    <row r="23" spans="1:16" ht="20.25" thickBot="1">
      <c r="A23" s="853"/>
      <c r="B23" s="852">
        <v>21</v>
      </c>
      <c r="D23" s="851"/>
      <c r="E23" s="844">
        <v>10</v>
      </c>
      <c r="F23" s="844">
        <v>12</v>
      </c>
      <c r="G23" s="844">
        <v>1</v>
      </c>
      <c r="H23" s="844">
        <v>81</v>
      </c>
      <c r="I23" s="844" t="str">
        <f t="shared" si="0"/>
        <v>"</v>
      </c>
      <c r="J23" s="844" t="str">
        <f t="shared" si="1"/>
        <v>"</v>
      </c>
      <c r="K23" s="844">
        <f t="shared" si="2"/>
        <v>972</v>
      </c>
      <c r="L23" s="844" t="str">
        <f t="shared" si="3"/>
        <v>"</v>
      </c>
      <c r="M23" s="844" t="str">
        <f t="shared" si="4"/>
        <v>"</v>
      </c>
      <c r="N23" s="844" t="str">
        <f t="shared" si="5"/>
        <v>"</v>
      </c>
      <c r="O23" s="844" t="str">
        <f t="shared" si="6"/>
        <v>"</v>
      </c>
      <c r="P23" s="843" t="str">
        <f t="shared" si="7"/>
        <v>"</v>
      </c>
    </row>
    <row r="24" spans="1:16" ht="20.25" thickBot="1">
      <c r="A24" s="952"/>
      <c r="B24" s="841"/>
      <c r="C24" s="836"/>
      <c r="D24" s="840"/>
      <c r="E24" s="839"/>
      <c r="F24" s="1651" t="s">
        <v>1143</v>
      </c>
      <c r="G24" s="1652"/>
      <c r="H24" s="1653"/>
      <c r="I24" s="893">
        <f t="shared" ref="I24:P24" si="8">SUM(I8:I23)</f>
        <v>0</v>
      </c>
      <c r="J24" s="893">
        <f t="shared" si="8"/>
        <v>0</v>
      </c>
      <c r="K24" s="893">
        <f t="shared" si="8"/>
        <v>4969.58</v>
      </c>
      <c r="L24" s="893">
        <f t="shared" si="8"/>
        <v>0</v>
      </c>
      <c r="M24" s="893">
        <f t="shared" si="8"/>
        <v>0</v>
      </c>
      <c r="N24" s="893">
        <f t="shared" si="8"/>
        <v>0</v>
      </c>
      <c r="O24" s="893">
        <f t="shared" si="8"/>
        <v>4035.12</v>
      </c>
      <c r="P24" s="893">
        <f t="shared" si="8"/>
        <v>0</v>
      </c>
    </row>
    <row r="25" spans="1:16" ht="20.25" thickBot="1">
      <c r="A25" s="953"/>
      <c r="B25" s="836"/>
      <c r="C25" s="836"/>
      <c r="D25" s="838"/>
      <c r="E25" s="837"/>
      <c r="F25" s="1654" t="s">
        <v>1142</v>
      </c>
      <c r="G25" s="1654"/>
      <c r="H25" s="1654"/>
      <c r="I25" s="893">
        <v>0.222</v>
      </c>
      <c r="J25" s="893">
        <v>0.39500000000000002</v>
      </c>
      <c r="K25" s="893">
        <v>0.61699999999999999</v>
      </c>
      <c r="L25" s="893">
        <v>0.88800000000000001</v>
      </c>
      <c r="M25" s="893">
        <v>1.2090000000000001</v>
      </c>
      <c r="N25" s="893">
        <v>1.579</v>
      </c>
      <c r="O25" s="893">
        <v>2.4670000000000001</v>
      </c>
      <c r="P25" s="893">
        <v>3.552</v>
      </c>
    </row>
    <row r="26" spans="1:16" ht="20.25" thickBot="1">
      <c r="A26" s="953"/>
      <c r="B26" s="835"/>
      <c r="C26" s="834"/>
      <c r="D26" s="833"/>
      <c r="E26" s="832"/>
      <c r="F26" s="1655" t="s">
        <v>1141</v>
      </c>
      <c r="G26" s="1655"/>
      <c r="H26" s="1655"/>
      <c r="I26" s="893">
        <f t="shared" ref="I26:P26" si="9">I24*I25</f>
        <v>0</v>
      </c>
      <c r="J26" s="893">
        <f t="shared" si="9"/>
        <v>0</v>
      </c>
      <c r="K26" s="893">
        <f t="shared" si="9"/>
        <v>3066.2308600000001</v>
      </c>
      <c r="L26" s="893">
        <f t="shared" si="9"/>
        <v>0</v>
      </c>
      <c r="M26" s="893">
        <f t="shared" si="9"/>
        <v>0</v>
      </c>
      <c r="N26" s="893">
        <f t="shared" si="9"/>
        <v>0</v>
      </c>
      <c r="O26" s="893">
        <f t="shared" si="9"/>
        <v>9954.6410400000004</v>
      </c>
      <c r="P26" s="893">
        <f t="shared" si="9"/>
        <v>0</v>
      </c>
    </row>
    <row r="27" spans="1:16">
      <c r="A27" s="862"/>
      <c r="B27" s="1656" t="s">
        <v>1151</v>
      </c>
      <c r="C27" s="1658" t="s">
        <v>73</v>
      </c>
      <c r="D27" s="1660" t="s">
        <v>74</v>
      </c>
      <c r="E27" s="1662" t="s">
        <v>1150</v>
      </c>
      <c r="F27" s="1664" t="s">
        <v>1149</v>
      </c>
      <c r="G27" s="894" t="s">
        <v>75</v>
      </c>
      <c r="H27" s="860" t="s">
        <v>1148</v>
      </c>
      <c r="I27" s="1666" t="s">
        <v>1147</v>
      </c>
      <c r="J27" s="1667"/>
      <c r="K27" s="1667"/>
      <c r="L27" s="1667"/>
      <c r="M27" s="1667"/>
      <c r="N27" s="1667"/>
      <c r="O27" s="1667"/>
      <c r="P27" s="1668"/>
    </row>
    <row r="28" spans="1:16" ht="19.5" thickBot="1">
      <c r="A28" s="859"/>
      <c r="B28" s="1657"/>
      <c r="C28" s="1659"/>
      <c r="D28" s="1661"/>
      <c r="E28" s="1663"/>
      <c r="F28" s="1665"/>
      <c r="G28" s="858" t="s">
        <v>1146</v>
      </c>
      <c r="H28" s="857" t="s">
        <v>1145</v>
      </c>
      <c r="I28" s="856">
        <v>6</v>
      </c>
      <c r="J28" s="856">
        <v>8</v>
      </c>
      <c r="K28" s="856">
        <v>10</v>
      </c>
      <c r="L28" s="856">
        <v>12</v>
      </c>
      <c r="M28" s="856">
        <v>14</v>
      </c>
      <c r="N28" s="856">
        <v>16</v>
      </c>
      <c r="O28" s="856">
        <v>20</v>
      </c>
      <c r="P28" s="855">
        <v>24</v>
      </c>
    </row>
    <row r="29" spans="1:16" ht="20.25" thickTop="1">
      <c r="A29" s="853"/>
      <c r="B29" s="1648" t="s">
        <v>282</v>
      </c>
      <c r="C29" s="1649"/>
      <c r="D29" s="1650"/>
      <c r="E29" s="844"/>
      <c r="F29" s="844"/>
      <c r="G29" s="844"/>
      <c r="H29" s="844"/>
      <c r="I29" s="844"/>
      <c r="J29" s="844"/>
      <c r="K29" s="844"/>
      <c r="L29" s="844"/>
      <c r="M29" s="844"/>
      <c r="N29" s="844"/>
      <c r="O29" s="844"/>
      <c r="P29" s="843"/>
    </row>
    <row r="30" spans="1:16" ht="19.5">
      <c r="A30" s="853"/>
      <c r="B30" s="844" t="s">
        <v>1152</v>
      </c>
      <c r="C30" s="852"/>
      <c r="D30" s="851"/>
      <c r="E30" s="844"/>
      <c r="F30" s="844"/>
      <c r="G30" s="844"/>
      <c r="H30" s="844"/>
      <c r="I30" s="844" t="str">
        <f t="shared" ref="I30:I55" si="10">IF(E30=6,F30*G30*H30,"""")</f>
        <v>"</v>
      </c>
      <c r="J30" s="844" t="str">
        <f t="shared" ref="J30:J55" si="11">IF(E30=8,F30*G30*H30,"""")</f>
        <v>"</v>
      </c>
      <c r="K30" s="844" t="str">
        <f t="shared" ref="K30:K55" si="12">IF(E30=10,F30*G30*H30,"""")</f>
        <v>"</v>
      </c>
      <c r="L30" s="844" t="str">
        <f t="shared" ref="L30:L55" si="13">IF(E30=12,F30*G30*H30,"""")</f>
        <v>"</v>
      </c>
      <c r="M30" s="844" t="str">
        <f t="shared" ref="M30:M55" si="14">IF(E30=14,F30*G30*H30,"""")</f>
        <v>"</v>
      </c>
      <c r="N30" s="844" t="str">
        <f t="shared" ref="N30:N55" si="15">IF(E30=16,F30*G30*H30,"""")</f>
        <v>"</v>
      </c>
      <c r="O30" s="844" t="str">
        <f t="shared" ref="O30:O55" si="16">IF(E30=20,F30*G30*H30,"""")</f>
        <v>"</v>
      </c>
      <c r="P30" s="843" t="str">
        <f t="shared" ref="P30:P55" si="17">IF(E30=24,F30*G30*H30,"""")</f>
        <v>"</v>
      </c>
    </row>
    <row r="31" spans="1:16" ht="19.5">
      <c r="A31" s="853"/>
      <c r="B31" s="844">
        <v>9</v>
      </c>
      <c r="C31" s="852"/>
      <c r="D31" s="851"/>
      <c r="E31" s="844">
        <v>16</v>
      </c>
      <c r="F31" s="844">
        <v>6.25</v>
      </c>
      <c r="G31" s="844">
        <v>6</v>
      </c>
      <c r="H31" s="844">
        <v>3</v>
      </c>
      <c r="I31" s="844" t="str">
        <f t="shared" si="10"/>
        <v>"</v>
      </c>
      <c r="J31" s="844" t="str">
        <f t="shared" si="11"/>
        <v>"</v>
      </c>
      <c r="K31" s="844" t="str">
        <f t="shared" si="12"/>
        <v>"</v>
      </c>
      <c r="L31" s="844" t="str">
        <f t="shared" si="13"/>
        <v>"</v>
      </c>
      <c r="M31" s="844" t="str">
        <f t="shared" si="14"/>
        <v>"</v>
      </c>
      <c r="N31" s="844">
        <f t="shared" si="15"/>
        <v>112.5</v>
      </c>
      <c r="O31" s="844" t="str">
        <f t="shared" si="16"/>
        <v>"</v>
      </c>
      <c r="P31" s="843" t="str">
        <f t="shared" si="17"/>
        <v>"</v>
      </c>
    </row>
    <row r="32" spans="1:16" ht="19.5">
      <c r="A32" s="853"/>
      <c r="B32" s="844">
        <v>10</v>
      </c>
      <c r="C32" s="852"/>
      <c r="D32" s="851"/>
      <c r="E32" s="844">
        <v>16</v>
      </c>
      <c r="F32" s="844">
        <v>6.25</v>
      </c>
      <c r="G32" s="844">
        <v>6</v>
      </c>
      <c r="H32" s="844">
        <v>2</v>
      </c>
      <c r="I32" s="844" t="str">
        <f t="shared" si="10"/>
        <v>"</v>
      </c>
      <c r="J32" s="844" t="str">
        <f t="shared" si="11"/>
        <v>"</v>
      </c>
      <c r="K32" s="844" t="str">
        <f t="shared" si="12"/>
        <v>"</v>
      </c>
      <c r="L32" s="844" t="str">
        <f t="shared" si="13"/>
        <v>"</v>
      </c>
      <c r="M32" s="844" t="str">
        <f t="shared" si="14"/>
        <v>"</v>
      </c>
      <c r="N32" s="844">
        <f t="shared" si="15"/>
        <v>75</v>
      </c>
      <c r="O32" s="844" t="str">
        <f t="shared" si="16"/>
        <v>"</v>
      </c>
      <c r="P32" s="843" t="str">
        <f t="shared" si="17"/>
        <v>"</v>
      </c>
    </row>
    <row r="33" spans="1:16" ht="19.5">
      <c r="A33" s="853"/>
      <c r="B33" s="844"/>
      <c r="C33" s="852"/>
      <c r="D33" s="851"/>
      <c r="E33" s="844">
        <v>16</v>
      </c>
      <c r="F33" s="844">
        <v>6.25</v>
      </c>
      <c r="G33" s="844">
        <v>6</v>
      </c>
      <c r="H33" s="844">
        <v>3</v>
      </c>
      <c r="I33" s="844" t="str">
        <f t="shared" si="10"/>
        <v>"</v>
      </c>
      <c r="J33" s="844" t="str">
        <f t="shared" si="11"/>
        <v>"</v>
      </c>
      <c r="K33" s="844" t="str">
        <f t="shared" si="12"/>
        <v>"</v>
      </c>
      <c r="L33" s="844" t="str">
        <f t="shared" si="13"/>
        <v>"</v>
      </c>
      <c r="M33" s="844" t="str">
        <f t="shared" si="14"/>
        <v>"</v>
      </c>
      <c r="N33" s="844">
        <f t="shared" si="15"/>
        <v>112.5</v>
      </c>
      <c r="O33" s="844" t="str">
        <f t="shared" si="16"/>
        <v>"</v>
      </c>
      <c r="P33" s="843" t="str">
        <f t="shared" si="17"/>
        <v>"</v>
      </c>
    </row>
    <row r="34" spans="1:16" ht="19.5">
      <c r="A34" s="853"/>
      <c r="B34" s="844">
        <v>3</v>
      </c>
      <c r="C34" s="852"/>
      <c r="D34" s="851"/>
      <c r="E34" s="844">
        <v>12</v>
      </c>
      <c r="F34" s="844">
        <v>1.45</v>
      </c>
      <c r="G34" s="844">
        <v>32</v>
      </c>
      <c r="H34" s="844">
        <v>2</v>
      </c>
      <c r="I34" s="844" t="str">
        <f t="shared" si="10"/>
        <v>"</v>
      </c>
      <c r="J34" s="844" t="str">
        <f t="shared" si="11"/>
        <v>"</v>
      </c>
      <c r="K34" s="844" t="str">
        <f t="shared" si="12"/>
        <v>"</v>
      </c>
      <c r="L34" s="844">
        <f t="shared" si="13"/>
        <v>92.8</v>
      </c>
      <c r="M34" s="844" t="str">
        <f t="shared" si="14"/>
        <v>"</v>
      </c>
      <c r="N34" s="844" t="str">
        <f t="shared" si="15"/>
        <v>"</v>
      </c>
      <c r="O34" s="844" t="str">
        <f t="shared" si="16"/>
        <v>"</v>
      </c>
      <c r="P34" s="843" t="str">
        <f t="shared" si="17"/>
        <v>"</v>
      </c>
    </row>
    <row r="35" spans="1:16" ht="19.5">
      <c r="A35" s="888"/>
      <c r="B35" s="877">
        <v>4</v>
      </c>
      <c r="C35" s="889"/>
      <c r="D35" s="851"/>
      <c r="E35" s="844">
        <v>12</v>
      </c>
      <c r="F35" s="844">
        <v>0.8</v>
      </c>
      <c r="G35" s="844">
        <v>32</v>
      </c>
      <c r="H35" s="844">
        <v>2</v>
      </c>
      <c r="I35" s="844" t="str">
        <f t="shared" si="10"/>
        <v>"</v>
      </c>
      <c r="J35" s="844" t="str">
        <f t="shared" si="11"/>
        <v>"</v>
      </c>
      <c r="K35" s="844" t="str">
        <f t="shared" si="12"/>
        <v>"</v>
      </c>
      <c r="L35" s="844">
        <f t="shared" si="13"/>
        <v>51.2</v>
      </c>
      <c r="M35" s="844" t="str">
        <f t="shared" si="14"/>
        <v>"</v>
      </c>
      <c r="N35" s="844" t="str">
        <f t="shared" si="15"/>
        <v>"</v>
      </c>
      <c r="O35" s="844" t="str">
        <f t="shared" si="16"/>
        <v>"</v>
      </c>
      <c r="P35" s="843" t="str">
        <f t="shared" si="17"/>
        <v>"</v>
      </c>
    </row>
    <row r="36" spans="1:16" ht="19.5">
      <c r="A36" s="853"/>
      <c r="B36" s="844">
        <v>1</v>
      </c>
      <c r="C36" s="852"/>
      <c r="D36" s="851"/>
      <c r="E36" s="844">
        <v>12</v>
      </c>
      <c r="F36" s="844">
        <v>2.4</v>
      </c>
      <c r="G36" s="844">
        <v>32</v>
      </c>
      <c r="H36" s="844">
        <v>2</v>
      </c>
      <c r="I36" s="844" t="str">
        <f t="shared" si="10"/>
        <v>"</v>
      </c>
      <c r="J36" s="844" t="str">
        <f t="shared" si="11"/>
        <v>"</v>
      </c>
      <c r="K36" s="844" t="str">
        <f t="shared" si="12"/>
        <v>"</v>
      </c>
      <c r="L36" s="844">
        <f t="shared" si="13"/>
        <v>153.6</v>
      </c>
      <c r="M36" s="844" t="str">
        <f t="shared" si="14"/>
        <v>"</v>
      </c>
      <c r="N36" s="844" t="str">
        <f t="shared" si="15"/>
        <v>"</v>
      </c>
      <c r="O36" s="844" t="str">
        <f t="shared" si="16"/>
        <v>"</v>
      </c>
      <c r="P36" s="843" t="str">
        <f t="shared" si="17"/>
        <v>"</v>
      </c>
    </row>
    <row r="37" spans="1:16" ht="19.5">
      <c r="A37" s="853"/>
      <c r="B37" s="844"/>
      <c r="C37" s="852"/>
      <c r="D37" s="851"/>
      <c r="E37" s="844">
        <v>12</v>
      </c>
      <c r="F37" s="844">
        <v>1.2</v>
      </c>
      <c r="G37" s="844">
        <v>14</v>
      </c>
      <c r="H37" s="844">
        <v>28</v>
      </c>
      <c r="I37" s="844" t="str">
        <f t="shared" si="10"/>
        <v>"</v>
      </c>
      <c r="J37" s="844" t="str">
        <f t="shared" si="11"/>
        <v>"</v>
      </c>
      <c r="K37" s="844" t="str">
        <f t="shared" si="12"/>
        <v>"</v>
      </c>
      <c r="L37" s="844">
        <f t="shared" si="13"/>
        <v>470.40000000000003</v>
      </c>
      <c r="M37" s="844" t="str">
        <f t="shared" si="14"/>
        <v>"</v>
      </c>
      <c r="N37" s="844" t="str">
        <f t="shared" si="15"/>
        <v>"</v>
      </c>
      <c r="O37" s="844" t="str">
        <f t="shared" si="16"/>
        <v>"</v>
      </c>
      <c r="P37" s="843" t="str">
        <f t="shared" si="17"/>
        <v>"</v>
      </c>
    </row>
    <row r="38" spans="1:16" ht="19.5">
      <c r="A38" s="853"/>
      <c r="B38" s="844"/>
      <c r="C38" s="852"/>
      <c r="D38" s="851"/>
      <c r="E38" s="844">
        <v>12</v>
      </c>
      <c r="F38" s="844">
        <v>3.83</v>
      </c>
      <c r="G38" s="844">
        <v>58</v>
      </c>
      <c r="H38" s="844">
        <v>1</v>
      </c>
      <c r="I38" s="844" t="str">
        <f t="shared" si="10"/>
        <v>"</v>
      </c>
      <c r="J38" s="844" t="str">
        <f t="shared" si="11"/>
        <v>"</v>
      </c>
      <c r="K38" s="844" t="str">
        <f t="shared" si="12"/>
        <v>"</v>
      </c>
      <c r="L38" s="844">
        <f t="shared" si="13"/>
        <v>222.14000000000001</v>
      </c>
      <c r="M38" s="844" t="str">
        <f t="shared" si="14"/>
        <v>"</v>
      </c>
      <c r="N38" s="844" t="str">
        <f t="shared" si="15"/>
        <v>"</v>
      </c>
      <c r="O38" s="844" t="str">
        <f t="shared" si="16"/>
        <v>"</v>
      </c>
      <c r="P38" s="843" t="str">
        <f t="shared" si="17"/>
        <v>"</v>
      </c>
    </row>
    <row r="39" spans="1:16" ht="19.5">
      <c r="A39" s="853"/>
      <c r="B39" s="844"/>
      <c r="C39" s="852"/>
      <c r="D39" s="851"/>
      <c r="E39" s="844">
        <v>12</v>
      </c>
      <c r="F39" s="844">
        <v>7.8</v>
      </c>
      <c r="G39" s="844">
        <v>6</v>
      </c>
      <c r="H39" s="844">
        <v>2</v>
      </c>
      <c r="I39" s="844" t="str">
        <f t="shared" si="10"/>
        <v>"</v>
      </c>
      <c r="J39" s="844" t="str">
        <f t="shared" si="11"/>
        <v>"</v>
      </c>
      <c r="K39" s="844" t="str">
        <f t="shared" si="12"/>
        <v>"</v>
      </c>
      <c r="L39" s="844">
        <f t="shared" si="13"/>
        <v>93.6</v>
      </c>
      <c r="M39" s="844" t="str">
        <f t="shared" si="14"/>
        <v>"</v>
      </c>
      <c r="N39" s="844" t="str">
        <f t="shared" si="15"/>
        <v>"</v>
      </c>
      <c r="O39" s="844" t="str">
        <f t="shared" si="16"/>
        <v>"</v>
      </c>
      <c r="P39" s="843" t="str">
        <f t="shared" si="17"/>
        <v>"</v>
      </c>
    </row>
    <row r="40" spans="1:16" ht="19.5">
      <c r="A40" s="853"/>
      <c r="B40" s="844"/>
      <c r="C40" s="852"/>
      <c r="D40" s="851"/>
      <c r="E40" s="844">
        <v>12</v>
      </c>
      <c r="F40" s="844">
        <v>7.8</v>
      </c>
      <c r="G40" s="844">
        <v>10</v>
      </c>
      <c r="H40" s="844">
        <v>2</v>
      </c>
      <c r="I40" s="844" t="str">
        <f t="shared" si="10"/>
        <v>"</v>
      </c>
      <c r="J40" s="844" t="str">
        <f t="shared" si="11"/>
        <v>"</v>
      </c>
      <c r="K40" s="844" t="str">
        <f t="shared" si="12"/>
        <v>"</v>
      </c>
      <c r="L40" s="844">
        <f t="shared" si="13"/>
        <v>156</v>
      </c>
      <c r="M40" s="844" t="str">
        <f t="shared" si="14"/>
        <v>"</v>
      </c>
      <c r="N40" s="844" t="str">
        <f t="shared" si="15"/>
        <v>"</v>
      </c>
      <c r="O40" s="844" t="str">
        <f t="shared" si="16"/>
        <v>"</v>
      </c>
      <c r="P40" s="843" t="str">
        <f t="shared" si="17"/>
        <v>"</v>
      </c>
    </row>
    <row r="41" spans="1:16" ht="19.5">
      <c r="A41" s="847"/>
      <c r="B41" s="845"/>
      <c r="C41" s="848"/>
      <c r="D41" s="849"/>
      <c r="E41" s="844">
        <v>12</v>
      </c>
      <c r="F41" s="845">
        <v>2.1</v>
      </c>
      <c r="G41" s="850">
        <v>53</v>
      </c>
      <c r="H41" s="850">
        <v>1</v>
      </c>
      <c r="I41" s="844" t="str">
        <f t="shared" si="10"/>
        <v>"</v>
      </c>
      <c r="J41" s="844" t="str">
        <f t="shared" si="11"/>
        <v>"</v>
      </c>
      <c r="K41" s="844" t="str">
        <f t="shared" si="12"/>
        <v>"</v>
      </c>
      <c r="L41" s="844">
        <f t="shared" si="13"/>
        <v>111.30000000000001</v>
      </c>
      <c r="M41" s="844" t="str">
        <f t="shared" si="14"/>
        <v>"</v>
      </c>
      <c r="N41" s="844" t="str">
        <f t="shared" si="15"/>
        <v>"</v>
      </c>
      <c r="O41" s="844" t="str">
        <f t="shared" si="16"/>
        <v>"</v>
      </c>
      <c r="P41" s="843" t="str">
        <f t="shared" si="17"/>
        <v>"</v>
      </c>
    </row>
    <row r="42" spans="1:16" ht="19.5">
      <c r="A42" s="847"/>
      <c r="B42" s="845"/>
      <c r="C42" s="848"/>
      <c r="D42" s="849"/>
      <c r="E42" s="844">
        <v>12</v>
      </c>
      <c r="F42" s="845">
        <v>1.3</v>
      </c>
      <c r="G42" s="850">
        <v>58</v>
      </c>
      <c r="H42" s="850">
        <v>1</v>
      </c>
      <c r="I42" s="844" t="str">
        <f t="shared" si="10"/>
        <v>"</v>
      </c>
      <c r="J42" s="844" t="str">
        <f t="shared" si="11"/>
        <v>"</v>
      </c>
      <c r="K42" s="844" t="str">
        <f t="shared" si="12"/>
        <v>"</v>
      </c>
      <c r="L42" s="844">
        <f t="shared" si="13"/>
        <v>75.400000000000006</v>
      </c>
      <c r="M42" s="844" t="str">
        <f t="shared" si="14"/>
        <v>"</v>
      </c>
      <c r="N42" s="844" t="str">
        <f t="shared" si="15"/>
        <v>"</v>
      </c>
      <c r="O42" s="844" t="str">
        <f t="shared" si="16"/>
        <v>"</v>
      </c>
      <c r="P42" s="843" t="str">
        <f t="shared" si="17"/>
        <v>"</v>
      </c>
    </row>
    <row r="43" spans="1:16" ht="19.5">
      <c r="A43" s="847"/>
      <c r="B43" s="845"/>
      <c r="C43" s="848"/>
      <c r="D43" s="849"/>
      <c r="E43" s="844">
        <v>12</v>
      </c>
      <c r="F43" s="850">
        <v>3.83</v>
      </c>
      <c r="G43" s="850">
        <v>48</v>
      </c>
      <c r="H43" s="850">
        <v>1</v>
      </c>
      <c r="I43" s="844" t="str">
        <f t="shared" si="10"/>
        <v>"</v>
      </c>
      <c r="J43" s="844" t="str">
        <f t="shared" si="11"/>
        <v>"</v>
      </c>
      <c r="K43" s="844" t="str">
        <f t="shared" si="12"/>
        <v>"</v>
      </c>
      <c r="L43" s="844">
        <f t="shared" si="13"/>
        <v>183.84</v>
      </c>
      <c r="M43" s="844" t="str">
        <f t="shared" si="14"/>
        <v>"</v>
      </c>
      <c r="N43" s="844" t="str">
        <f t="shared" si="15"/>
        <v>"</v>
      </c>
      <c r="O43" s="844" t="str">
        <f t="shared" si="16"/>
        <v>"</v>
      </c>
      <c r="P43" s="843" t="str">
        <f t="shared" si="17"/>
        <v>"</v>
      </c>
    </row>
    <row r="44" spans="1:16" ht="19.5">
      <c r="A44" s="847"/>
      <c r="B44" s="845"/>
      <c r="C44" s="848"/>
      <c r="D44" s="849"/>
      <c r="E44" s="844">
        <v>12</v>
      </c>
      <c r="F44" s="845">
        <v>6.45</v>
      </c>
      <c r="G44" s="845">
        <v>6</v>
      </c>
      <c r="H44" s="845">
        <v>2</v>
      </c>
      <c r="I44" s="844" t="str">
        <f t="shared" si="10"/>
        <v>"</v>
      </c>
      <c r="J44" s="844" t="str">
        <f t="shared" si="11"/>
        <v>"</v>
      </c>
      <c r="K44" s="844" t="str">
        <f t="shared" si="12"/>
        <v>"</v>
      </c>
      <c r="L44" s="844">
        <f t="shared" si="13"/>
        <v>77.400000000000006</v>
      </c>
      <c r="M44" s="844" t="str">
        <f t="shared" si="14"/>
        <v>"</v>
      </c>
      <c r="N44" s="844" t="str">
        <f t="shared" si="15"/>
        <v>"</v>
      </c>
      <c r="O44" s="844" t="str">
        <f t="shared" si="16"/>
        <v>"</v>
      </c>
      <c r="P44" s="843" t="str">
        <f t="shared" si="17"/>
        <v>"</v>
      </c>
    </row>
    <row r="45" spans="1:16" ht="19.5">
      <c r="A45" s="847"/>
      <c r="B45" s="845"/>
      <c r="C45" s="848"/>
      <c r="D45" s="846"/>
      <c r="E45" s="844">
        <v>12</v>
      </c>
      <c r="F45" s="845">
        <v>6.45</v>
      </c>
      <c r="G45" s="845">
        <v>10</v>
      </c>
      <c r="H45" s="845">
        <v>2</v>
      </c>
      <c r="I45" s="844" t="str">
        <f t="shared" si="10"/>
        <v>"</v>
      </c>
      <c r="J45" s="844" t="str">
        <f t="shared" si="11"/>
        <v>"</v>
      </c>
      <c r="K45" s="844" t="str">
        <f t="shared" si="12"/>
        <v>"</v>
      </c>
      <c r="L45" s="844">
        <f t="shared" si="13"/>
        <v>129</v>
      </c>
      <c r="M45" s="844" t="str">
        <f t="shared" si="14"/>
        <v>"</v>
      </c>
      <c r="N45" s="844" t="str">
        <f t="shared" si="15"/>
        <v>"</v>
      </c>
      <c r="O45" s="844" t="str">
        <f t="shared" si="16"/>
        <v>"</v>
      </c>
      <c r="P45" s="843" t="str">
        <f t="shared" si="17"/>
        <v>"</v>
      </c>
    </row>
    <row r="46" spans="1:16" ht="19.5">
      <c r="A46" s="847"/>
      <c r="B46" s="845"/>
      <c r="C46" s="848"/>
      <c r="D46" s="846"/>
      <c r="E46" s="844">
        <v>12</v>
      </c>
      <c r="F46" s="845">
        <v>2.1</v>
      </c>
      <c r="G46" s="845">
        <v>42</v>
      </c>
      <c r="H46" s="845">
        <v>1</v>
      </c>
      <c r="I46" s="844" t="str">
        <f t="shared" si="10"/>
        <v>"</v>
      </c>
      <c r="J46" s="844" t="str">
        <f t="shared" si="11"/>
        <v>"</v>
      </c>
      <c r="K46" s="844" t="str">
        <f t="shared" si="12"/>
        <v>"</v>
      </c>
      <c r="L46" s="844">
        <f t="shared" si="13"/>
        <v>88.2</v>
      </c>
      <c r="M46" s="844" t="str">
        <f t="shared" si="14"/>
        <v>"</v>
      </c>
      <c r="N46" s="844" t="str">
        <f t="shared" si="15"/>
        <v>"</v>
      </c>
      <c r="O46" s="844" t="str">
        <f t="shared" si="16"/>
        <v>"</v>
      </c>
      <c r="P46" s="843" t="str">
        <f t="shared" si="17"/>
        <v>"</v>
      </c>
    </row>
    <row r="47" spans="1:16" ht="19.5">
      <c r="A47" s="847"/>
      <c r="B47" s="845"/>
      <c r="C47" s="848"/>
      <c r="D47" s="846"/>
      <c r="E47" s="844">
        <v>12</v>
      </c>
      <c r="F47" s="845">
        <v>1.3</v>
      </c>
      <c r="G47" s="845">
        <v>48</v>
      </c>
      <c r="H47" s="845">
        <v>1</v>
      </c>
      <c r="I47" s="844" t="str">
        <f t="shared" si="10"/>
        <v>"</v>
      </c>
      <c r="J47" s="844" t="str">
        <f t="shared" si="11"/>
        <v>"</v>
      </c>
      <c r="K47" s="844" t="str">
        <f t="shared" si="12"/>
        <v>"</v>
      </c>
      <c r="L47" s="844">
        <f t="shared" si="13"/>
        <v>62.400000000000006</v>
      </c>
      <c r="M47" s="844" t="str">
        <f t="shared" si="14"/>
        <v>"</v>
      </c>
      <c r="N47" s="844" t="str">
        <f t="shared" si="15"/>
        <v>"</v>
      </c>
      <c r="O47" s="844" t="str">
        <f t="shared" si="16"/>
        <v>"</v>
      </c>
      <c r="P47" s="843" t="str">
        <f t="shared" si="17"/>
        <v>"</v>
      </c>
    </row>
    <row r="48" spans="1:16" ht="19.5">
      <c r="A48" s="847"/>
      <c r="B48" s="845"/>
      <c r="C48" s="848"/>
      <c r="D48" s="846"/>
      <c r="E48" s="844">
        <v>12</v>
      </c>
      <c r="F48" s="845">
        <v>10.199999999999999</v>
      </c>
      <c r="G48" s="845">
        <v>9</v>
      </c>
      <c r="H48" s="845">
        <v>2</v>
      </c>
      <c r="I48" s="844" t="str">
        <f t="shared" si="10"/>
        <v>"</v>
      </c>
      <c r="J48" s="844" t="str">
        <f t="shared" si="11"/>
        <v>"</v>
      </c>
      <c r="K48" s="844" t="str">
        <f t="shared" si="12"/>
        <v>"</v>
      </c>
      <c r="L48" s="844">
        <f t="shared" si="13"/>
        <v>183.6</v>
      </c>
      <c r="M48" s="844" t="str">
        <f t="shared" si="14"/>
        <v>"</v>
      </c>
      <c r="N48" s="844" t="str">
        <f t="shared" si="15"/>
        <v>"</v>
      </c>
      <c r="O48" s="844" t="str">
        <f t="shared" si="16"/>
        <v>"</v>
      </c>
      <c r="P48" s="843" t="str">
        <f t="shared" si="17"/>
        <v>"</v>
      </c>
    </row>
    <row r="49" spans="1:16" ht="19.5">
      <c r="A49" s="847"/>
      <c r="B49" s="845"/>
      <c r="C49" s="848"/>
      <c r="D49" s="846"/>
      <c r="E49" s="844">
        <v>12</v>
      </c>
      <c r="F49" s="845">
        <v>4.5999999999999996</v>
      </c>
      <c r="G49" s="845">
        <v>9</v>
      </c>
      <c r="H49" s="845">
        <v>2</v>
      </c>
      <c r="I49" s="844" t="str">
        <f t="shared" si="10"/>
        <v>"</v>
      </c>
      <c r="J49" s="844" t="str">
        <f t="shared" si="11"/>
        <v>"</v>
      </c>
      <c r="K49" s="844" t="str">
        <f t="shared" si="12"/>
        <v>"</v>
      </c>
      <c r="L49" s="844">
        <f t="shared" si="13"/>
        <v>82.8</v>
      </c>
      <c r="M49" s="844" t="str">
        <f t="shared" si="14"/>
        <v>"</v>
      </c>
      <c r="N49" s="844" t="str">
        <f t="shared" si="15"/>
        <v>"</v>
      </c>
      <c r="O49" s="844" t="str">
        <f t="shared" si="16"/>
        <v>"</v>
      </c>
      <c r="P49" s="843" t="str">
        <f t="shared" si="17"/>
        <v>"</v>
      </c>
    </row>
    <row r="50" spans="1:16" ht="19.5">
      <c r="A50" s="847"/>
      <c r="B50" s="845"/>
      <c r="C50" s="848"/>
      <c r="D50" s="846"/>
      <c r="E50" s="844">
        <v>12</v>
      </c>
      <c r="F50" s="845">
        <v>4.7</v>
      </c>
      <c r="G50" s="845">
        <v>32</v>
      </c>
      <c r="H50" s="845">
        <v>2</v>
      </c>
      <c r="I50" s="844" t="str">
        <f t="shared" si="10"/>
        <v>"</v>
      </c>
      <c r="J50" s="844" t="str">
        <f t="shared" si="11"/>
        <v>"</v>
      </c>
      <c r="K50" s="844" t="str">
        <f t="shared" si="12"/>
        <v>"</v>
      </c>
      <c r="L50" s="844">
        <f t="shared" si="13"/>
        <v>300.8</v>
      </c>
      <c r="M50" s="844" t="str">
        <f t="shared" si="14"/>
        <v>"</v>
      </c>
      <c r="N50" s="844" t="str">
        <f t="shared" si="15"/>
        <v>"</v>
      </c>
      <c r="O50" s="844" t="str">
        <f t="shared" si="16"/>
        <v>"</v>
      </c>
      <c r="P50" s="843" t="str">
        <f t="shared" si="17"/>
        <v>"</v>
      </c>
    </row>
    <row r="51" spans="1:16" ht="19.5">
      <c r="A51" s="847"/>
      <c r="B51" s="845"/>
      <c r="C51" s="848"/>
      <c r="D51" s="846"/>
      <c r="E51" s="844">
        <v>12</v>
      </c>
      <c r="F51" s="845">
        <v>1.3</v>
      </c>
      <c r="G51" s="845">
        <v>32</v>
      </c>
      <c r="H51" s="845">
        <v>2</v>
      </c>
      <c r="I51" s="844" t="str">
        <f t="shared" si="10"/>
        <v>"</v>
      </c>
      <c r="J51" s="844" t="str">
        <f t="shared" si="11"/>
        <v>"</v>
      </c>
      <c r="K51" s="844" t="str">
        <f t="shared" si="12"/>
        <v>"</v>
      </c>
      <c r="L51" s="844">
        <f t="shared" si="13"/>
        <v>83.2</v>
      </c>
      <c r="M51" s="844" t="str">
        <f t="shared" si="14"/>
        <v>"</v>
      </c>
      <c r="N51" s="844" t="str">
        <f t="shared" si="15"/>
        <v>"</v>
      </c>
      <c r="O51" s="844" t="str">
        <f t="shared" si="16"/>
        <v>"</v>
      </c>
      <c r="P51" s="843" t="str">
        <f t="shared" si="17"/>
        <v>"</v>
      </c>
    </row>
    <row r="52" spans="1:16" ht="19.5">
      <c r="A52" s="847"/>
      <c r="B52" s="845"/>
      <c r="C52" s="848"/>
      <c r="D52" s="846"/>
      <c r="E52" s="844">
        <v>12</v>
      </c>
      <c r="F52" s="845">
        <v>1.3</v>
      </c>
      <c r="G52" s="845">
        <v>7</v>
      </c>
      <c r="H52" s="845">
        <v>4</v>
      </c>
      <c r="I52" s="844" t="str">
        <f t="shared" si="10"/>
        <v>"</v>
      </c>
      <c r="J52" s="844" t="str">
        <f t="shared" si="11"/>
        <v>"</v>
      </c>
      <c r="K52" s="844" t="str">
        <f t="shared" si="12"/>
        <v>"</v>
      </c>
      <c r="L52" s="844">
        <f t="shared" si="13"/>
        <v>36.4</v>
      </c>
      <c r="M52" s="844" t="str">
        <f t="shared" si="14"/>
        <v>"</v>
      </c>
      <c r="N52" s="844" t="str">
        <f t="shared" si="15"/>
        <v>"</v>
      </c>
      <c r="O52" s="844" t="str">
        <f t="shared" si="16"/>
        <v>"</v>
      </c>
      <c r="P52" s="843" t="str">
        <f t="shared" si="17"/>
        <v>"</v>
      </c>
    </row>
    <row r="53" spans="1:16" ht="19.5">
      <c r="A53" s="847"/>
      <c r="B53" s="845"/>
      <c r="C53" s="848"/>
      <c r="D53" s="846"/>
      <c r="E53" s="845">
        <v>16</v>
      </c>
      <c r="F53" s="845">
        <v>4.4000000000000004</v>
      </c>
      <c r="G53" s="845">
        <v>8</v>
      </c>
      <c r="H53" s="845">
        <v>4</v>
      </c>
      <c r="I53" s="844" t="str">
        <f t="shared" si="10"/>
        <v>"</v>
      </c>
      <c r="J53" s="844" t="str">
        <f t="shared" si="11"/>
        <v>"</v>
      </c>
      <c r="K53" s="844" t="str">
        <f t="shared" si="12"/>
        <v>"</v>
      </c>
      <c r="L53" s="844" t="str">
        <f t="shared" si="13"/>
        <v>"</v>
      </c>
      <c r="M53" s="844" t="str">
        <f t="shared" si="14"/>
        <v>"</v>
      </c>
      <c r="N53" s="844">
        <f t="shared" si="15"/>
        <v>140.80000000000001</v>
      </c>
      <c r="O53" s="844" t="str">
        <f t="shared" si="16"/>
        <v>"</v>
      </c>
      <c r="P53" s="843" t="str">
        <f t="shared" si="17"/>
        <v>"</v>
      </c>
    </row>
    <row r="54" spans="1:16" ht="19.5">
      <c r="A54" s="847"/>
      <c r="B54" s="845"/>
      <c r="C54" s="848"/>
      <c r="D54" s="846"/>
      <c r="E54" s="845">
        <v>16</v>
      </c>
      <c r="F54" s="845">
        <v>1.8</v>
      </c>
      <c r="G54" s="845">
        <v>10</v>
      </c>
      <c r="H54" s="845">
        <v>8</v>
      </c>
      <c r="I54" s="844" t="str">
        <f t="shared" si="10"/>
        <v>"</v>
      </c>
      <c r="J54" s="844" t="str">
        <f t="shared" si="11"/>
        <v>"</v>
      </c>
      <c r="K54" s="844" t="str">
        <f t="shared" si="12"/>
        <v>"</v>
      </c>
      <c r="L54" s="844" t="str">
        <f t="shared" si="13"/>
        <v>"</v>
      </c>
      <c r="M54" s="844" t="str">
        <f t="shared" si="14"/>
        <v>"</v>
      </c>
      <c r="N54" s="844">
        <f t="shared" si="15"/>
        <v>144</v>
      </c>
      <c r="O54" s="844" t="str">
        <f t="shared" si="16"/>
        <v>"</v>
      </c>
      <c r="P54" s="843" t="str">
        <f t="shared" si="17"/>
        <v>"</v>
      </c>
    </row>
    <row r="55" spans="1:16" ht="20.25" thickBot="1">
      <c r="A55" s="847"/>
      <c r="B55" s="845"/>
      <c r="C55" s="845"/>
      <c r="D55" s="846"/>
      <c r="E55" s="845">
        <v>16</v>
      </c>
      <c r="F55" s="845">
        <v>1.9</v>
      </c>
      <c r="G55" s="845">
        <v>32</v>
      </c>
      <c r="H55" s="845">
        <v>2</v>
      </c>
      <c r="I55" s="844" t="str">
        <f t="shared" si="10"/>
        <v>"</v>
      </c>
      <c r="J55" s="844" t="str">
        <f t="shared" si="11"/>
        <v>"</v>
      </c>
      <c r="K55" s="844" t="str">
        <f t="shared" si="12"/>
        <v>"</v>
      </c>
      <c r="L55" s="844" t="str">
        <f t="shared" si="13"/>
        <v>"</v>
      </c>
      <c r="M55" s="844" t="str">
        <f t="shared" si="14"/>
        <v>"</v>
      </c>
      <c r="N55" s="844">
        <f t="shared" si="15"/>
        <v>121.6</v>
      </c>
      <c r="O55" s="844" t="str">
        <f t="shared" si="16"/>
        <v>"</v>
      </c>
      <c r="P55" s="843" t="str">
        <f t="shared" si="17"/>
        <v>"</v>
      </c>
    </row>
    <row r="56" spans="1:16" ht="20.25" thickBot="1">
      <c r="A56" s="952"/>
      <c r="B56" s="841"/>
      <c r="C56" s="841"/>
      <c r="D56" s="840"/>
      <c r="E56" s="839"/>
      <c r="F56" s="1651" t="s">
        <v>1143</v>
      </c>
      <c r="G56" s="1652"/>
      <c r="H56" s="1653"/>
      <c r="I56" s="893">
        <f t="shared" ref="I56:P56" si="18">SUM(I29:I55)</f>
        <v>0</v>
      </c>
      <c r="J56" s="893">
        <f t="shared" si="18"/>
        <v>0</v>
      </c>
      <c r="K56" s="893">
        <f t="shared" si="18"/>
        <v>0</v>
      </c>
      <c r="L56" s="893">
        <f t="shared" si="18"/>
        <v>2654.0800000000004</v>
      </c>
      <c r="M56" s="893">
        <f t="shared" si="18"/>
        <v>0</v>
      </c>
      <c r="N56" s="893">
        <f t="shared" si="18"/>
        <v>706.4</v>
      </c>
      <c r="O56" s="893">
        <f t="shared" si="18"/>
        <v>0</v>
      </c>
      <c r="P56" s="893">
        <f t="shared" si="18"/>
        <v>0</v>
      </c>
    </row>
    <row r="57" spans="1:16" ht="20.25" thickBot="1">
      <c r="A57" s="953"/>
      <c r="B57" s="836"/>
      <c r="C57" s="836"/>
      <c r="D57" s="838"/>
      <c r="E57" s="837"/>
      <c r="F57" s="1654" t="s">
        <v>1142</v>
      </c>
      <c r="G57" s="1654"/>
      <c r="H57" s="1654"/>
      <c r="I57" s="893">
        <v>0.222</v>
      </c>
      <c r="J57" s="893">
        <v>0.39500000000000002</v>
      </c>
      <c r="K57" s="893">
        <v>0.61699999999999999</v>
      </c>
      <c r="L57" s="893">
        <v>0.88800000000000001</v>
      </c>
      <c r="M57" s="893">
        <v>1.2090000000000001</v>
      </c>
      <c r="N57" s="893">
        <v>1.579</v>
      </c>
      <c r="O57" s="893">
        <v>2.4670000000000001</v>
      </c>
      <c r="P57" s="893">
        <v>3.552</v>
      </c>
    </row>
    <row r="58" spans="1:16" ht="20.25" thickBot="1">
      <c r="A58" s="953"/>
      <c r="B58" s="835"/>
      <c r="C58" s="834"/>
      <c r="D58" s="833"/>
      <c r="E58" s="832"/>
      <c r="F58" s="1655" t="s">
        <v>1141</v>
      </c>
      <c r="G58" s="1655"/>
      <c r="H58" s="1655"/>
      <c r="I58" s="893">
        <f t="shared" ref="I58:P58" si="19">I56*I57</f>
        <v>0</v>
      </c>
      <c r="J58" s="893">
        <f t="shared" si="19"/>
        <v>0</v>
      </c>
      <c r="K58" s="893">
        <f t="shared" si="19"/>
        <v>0</v>
      </c>
      <c r="L58" s="893">
        <f t="shared" si="19"/>
        <v>2356.8230400000002</v>
      </c>
      <c r="M58" s="893">
        <f t="shared" si="19"/>
        <v>0</v>
      </c>
      <c r="N58" s="893">
        <f t="shared" si="19"/>
        <v>1115.4055999999998</v>
      </c>
      <c r="O58" s="893">
        <f t="shared" si="19"/>
        <v>0</v>
      </c>
      <c r="P58" s="893">
        <f t="shared" si="19"/>
        <v>0</v>
      </c>
    </row>
    <row r="59" spans="1:16" ht="20.25" thickBot="1">
      <c r="A59" s="953"/>
      <c r="B59" s="835"/>
      <c r="C59" s="834"/>
      <c r="D59" s="833"/>
      <c r="E59" s="1116"/>
      <c r="F59" s="1117"/>
      <c r="G59" s="1117"/>
      <c r="H59" s="1117"/>
      <c r="I59" s="841"/>
      <c r="J59" s="841"/>
      <c r="K59" s="841"/>
      <c r="L59" s="841"/>
      <c r="M59" s="841"/>
      <c r="N59" s="841"/>
      <c r="O59" s="841"/>
      <c r="P59" s="1118"/>
    </row>
    <row r="60" spans="1:16" ht="20.25" thickBot="1">
      <c r="A60" s="953"/>
      <c r="B60" s="835"/>
      <c r="C60" s="834"/>
      <c r="D60" s="833"/>
      <c r="E60" s="1116"/>
      <c r="F60" s="1117"/>
      <c r="G60" s="1117"/>
      <c r="H60" s="1117"/>
      <c r="I60" s="841"/>
      <c r="J60" s="841"/>
      <c r="K60" s="841"/>
      <c r="L60" s="841"/>
      <c r="M60" s="841"/>
      <c r="N60" s="841"/>
      <c r="O60" s="841"/>
      <c r="P60" s="1118"/>
    </row>
    <row r="61" spans="1:16" ht="20.25" thickBot="1">
      <c r="A61" s="953"/>
      <c r="B61" s="835"/>
      <c r="C61" s="834"/>
      <c r="D61" s="833"/>
      <c r="E61" s="1116"/>
      <c r="F61" s="1117"/>
      <c r="G61" s="1117"/>
      <c r="H61" s="1117"/>
      <c r="I61" s="841"/>
      <c r="J61" s="841"/>
      <c r="K61" s="841"/>
      <c r="L61" s="841"/>
      <c r="M61" s="841"/>
      <c r="N61" s="841"/>
      <c r="O61" s="841"/>
      <c r="P61" s="1118"/>
    </row>
    <row r="62" spans="1:16" ht="20.25" thickBot="1">
      <c r="A62" s="953"/>
      <c r="B62" s="835"/>
      <c r="C62" s="834"/>
      <c r="D62" s="833"/>
      <c r="E62" s="1116"/>
      <c r="F62" s="1117"/>
      <c r="G62" s="1117"/>
      <c r="H62" s="1117"/>
      <c r="I62" s="841"/>
      <c r="J62" s="841"/>
      <c r="K62" s="841"/>
      <c r="L62" s="841"/>
      <c r="M62" s="841"/>
      <c r="N62" s="841"/>
      <c r="O62" s="841"/>
      <c r="P62" s="1118"/>
    </row>
    <row r="63" spans="1:16" ht="20.25" thickBot="1">
      <c r="A63" s="953"/>
      <c r="B63" s="835"/>
      <c r="C63" s="834"/>
      <c r="D63" s="833"/>
      <c r="E63" s="1116"/>
      <c r="F63" s="1117"/>
      <c r="G63" s="1117"/>
      <c r="H63" s="1117"/>
      <c r="I63" s="841"/>
      <c r="J63" s="841"/>
      <c r="K63" s="841"/>
      <c r="L63" s="841"/>
      <c r="M63" s="841"/>
      <c r="N63" s="841"/>
      <c r="O63" s="841"/>
      <c r="P63" s="1118"/>
    </row>
    <row r="64" spans="1:16">
      <c r="A64" s="862"/>
      <c r="B64" s="1656" t="s">
        <v>1151</v>
      </c>
      <c r="C64" s="1658" t="s">
        <v>73</v>
      </c>
      <c r="D64" s="1660" t="s">
        <v>74</v>
      </c>
      <c r="E64" s="1662" t="s">
        <v>1150</v>
      </c>
      <c r="F64" s="1664" t="s">
        <v>1149</v>
      </c>
      <c r="G64" s="894" t="s">
        <v>75</v>
      </c>
      <c r="H64" s="860" t="s">
        <v>1148</v>
      </c>
      <c r="I64" s="1666" t="s">
        <v>1147</v>
      </c>
      <c r="J64" s="1667"/>
      <c r="K64" s="1667"/>
      <c r="L64" s="1667"/>
      <c r="M64" s="1667"/>
      <c r="N64" s="1667"/>
      <c r="O64" s="1667"/>
      <c r="P64" s="1668"/>
    </row>
    <row r="65" spans="1:16" ht="19.5" thickBot="1">
      <c r="A65" s="859"/>
      <c r="B65" s="1657"/>
      <c r="C65" s="1659"/>
      <c r="D65" s="1661"/>
      <c r="E65" s="1663"/>
      <c r="F65" s="1665"/>
      <c r="G65" s="858" t="s">
        <v>1146</v>
      </c>
      <c r="H65" s="857" t="s">
        <v>1145</v>
      </c>
      <c r="I65" s="856">
        <v>6</v>
      </c>
      <c r="J65" s="856">
        <v>8</v>
      </c>
      <c r="K65" s="856">
        <v>10</v>
      </c>
      <c r="L65" s="856">
        <v>12</v>
      </c>
      <c r="M65" s="856">
        <v>14</v>
      </c>
      <c r="N65" s="856">
        <v>16</v>
      </c>
      <c r="O65" s="856">
        <v>20</v>
      </c>
      <c r="P65" s="855">
        <v>24</v>
      </c>
    </row>
    <row r="66" spans="1:16" ht="20.25" thickTop="1">
      <c r="A66" s="853"/>
      <c r="B66" s="1648" t="s">
        <v>1144</v>
      </c>
      <c r="C66" s="1649"/>
      <c r="D66" s="1650"/>
      <c r="E66" s="844"/>
      <c r="F66" s="844"/>
      <c r="G66" s="844"/>
      <c r="H66" s="844"/>
      <c r="I66" s="844"/>
      <c r="J66" s="844"/>
      <c r="K66" s="844"/>
      <c r="L66" s="844"/>
      <c r="M66" s="844"/>
      <c r="N66" s="844"/>
      <c r="O66" s="844"/>
      <c r="P66" s="843"/>
    </row>
    <row r="67" spans="1:16" ht="21">
      <c r="A67" s="853"/>
      <c r="B67" s="844">
        <v>3</v>
      </c>
      <c r="C67" s="887"/>
      <c r="D67" s="851"/>
      <c r="E67" s="844">
        <v>10</v>
      </c>
      <c r="F67" s="844">
        <v>2</v>
      </c>
      <c r="G67" s="844">
        <v>265</v>
      </c>
      <c r="H67" s="844">
        <v>1</v>
      </c>
      <c r="I67" s="844" t="str">
        <f t="shared" ref="I67:I71" si="20">IF(E67=6,F67*G67*H67,"""")</f>
        <v>"</v>
      </c>
      <c r="J67" s="844" t="str">
        <f t="shared" ref="J67:J71" si="21">IF(E67=8,F67*G67*H67,"""")</f>
        <v>"</v>
      </c>
      <c r="K67" s="844">
        <f t="shared" ref="K67:K71" si="22">IF(E67=10,F67*G67*H67,"""")</f>
        <v>530</v>
      </c>
      <c r="L67" s="844" t="str">
        <f t="shared" ref="L67:L71" si="23">IF(E67=12,F67*G67*H67,"""")</f>
        <v>"</v>
      </c>
      <c r="M67" s="844" t="str">
        <f t="shared" ref="M67:M71" si="24">IF(E67=14,F67*G67*H67,"""")</f>
        <v>"</v>
      </c>
      <c r="N67" s="844" t="str">
        <f t="shared" ref="N67:N71" si="25">IF(E67=16,F67*G67*H67,"""")</f>
        <v>"</v>
      </c>
      <c r="O67" s="844" t="str">
        <f t="shared" ref="O67:O71" si="26">IF(E67=20,F67*G67*H67,"""")</f>
        <v>"</v>
      </c>
      <c r="P67" s="843" t="str">
        <f t="shared" ref="P67:P71" si="27">IF(E67=24,F67*G67*H67,"""")</f>
        <v>"</v>
      </c>
    </row>
    <row r="68" spans="1:16" ht="19.5">
      <c r="A68" s="853"/>
      <c r="B68" s="844">
        <v>4</v>
      </c>
      <c r="C68" s="852" t="s">
        <v>1211</v>
      </c>
      <c r="D68" s="851"/>
      <c r="E68" s="844">
        <v>10</v>
      </c>
      <c r="F68" s="844">
        <v>3.85</v>
      </c>
      <c r="G68" s="844">
        <v>265</v>
      </c>
      <c r="H68" s="844">
        <v>1</v>
      </c>
      <c r="I68" s="844" t="str">
        <f t="shared" si="20"/>
        <v>"</v>
      </c>
      <c r="J68" s="844" t="str">
        <f t="shared" si="21"/>
        <v>"</v>
      </c>
      <c r="K68" s="844">
        <f t="shared" si="22"/>
        <v>1020.25</v>
      </c>
      <c r="L68" s="844" t="str">
        <f t="shared" si="23"/>
        <v>"</v>
      </c>
      <c r="M68" s="844" t="str">
        <f t="shared" si="24"/>
        <v>"</v>
      </c>
      <c r="N68" s="844" t="str">
        <f t="shared" si="25"/>
        <v>"</v>
      </c>
      <c r="O68" s="844" t="str">
        <f t="shared" si="26"/>
        <v>"</v>
      </c>
      <c r="P68" s="843" t="str">
        <f t="shared" si="27"/>
        <v>"</v>
      </c>
    </row>
    <row r="69" spans="1:16" ht="19.5">
      <c r="A69" s="853"/>
      <c r="B69" s="844">
        <v>8</v>
      </c>
      <c r="C69" s="852" t="s">
        <v>1212</v>
      </c>
      <c r="D69" s="851"/>
      <c r="E69" s="844">
        <v>10</v>
      </c>
      <c r="F69" s="844">
        <v>2.4</v>
      </c>
      <c r="G69" s="844">
        <v>80</v>
      </c>
      <c r="H69" s="844">
        <v>1</v>
      </c>
      <c r="I69" s="844" t="str">
        <f t="shared" si="20"/>
        <v>"</v>
      </c>
      <c r="J69" s="844" t="str">
        <f t="shared" si="21"/>
        <v>"</v>
      </c>
      <c r="K69" s="844">
        <f t="shared" si="22"/>
        <v>192</v>
      </c>
      <c r="L69" s="844" t="str">
        <f t="shared" si="23"/>
        <v>"</v>
      </c>
      <c r="M69" s="844" t="str">
        <f t="shared" si="24"/>
        <v>"</v>
      </c>
      <c r="N69" s="844" t="str">
        <f t="shared" si="25"/>
        <v>"</v>
      </c>
      <c r="O69" s="844" t="str">
        <f t="shared" si="26"/>
        <v>"</v>
      </c>
      <c r="P69" s="843" t="str">
        <f t="shared" si="27"/>
        <v>"</v>
      </c>
    </row>
    <row r="70" spans="1:16" ht="19.5">
      <c r="A70" s="853"/>
      <c r="B70" s="844">
        <v>9</v>
      </c>
      <c r="C70" s="852" t="s">
        <v>1214</v>
      </c>
      <c r="D70" s="851"/>
      <c r="E70" s="844">
        <v>14</v>
      </c>
      <c r="F70" s="844">
        <v>2.4</v>
      </c>
      <c r="G70" s="844">
        <v>70</v>
      </c>
      <c r="H70" s="844">
        <v>1</v>
      </c>
      <c r="I70" s="844" t="str">
        <f t="shared" si="20"/>
        <v>"</v>
      </c>
      <c r="J70" s="844" t="str">
        <f t="shared" si="21"/>
        <v>"</v>
      </c>
      <c r="K70" s="844" t="str">
        <f t="shared" si="22"/>
        <v>"</v>
      </c>
      <c r="L70" s="844" t="str">
        <f t="shared" si="23"/>
        <v>"</v>
      </c>
      <c r="M70" s="844">
        <f t="shared" si="24"/>
        <v>168</v>
      </c>
      <c r="N70" s="844" t="str">
        <f t="shared" si="25"/>
        <v>"</v>
      </c>
      <c r="O70" s="844" t="str">
        <f t="shared" si="26"/>
        <v>"</v>
      </c>
      <c r="P70" s="843" t="str">
        <f t="shared" si="27"/>
        <v>"</v>
      </c>
    </row>
    <row r="71" spans="1:16" ht="19.5">
      <c r="A71" s="853"/>
      <c r="B71" s="844">
        <v>10</v>
      </c>
      <c r="C71" s="852" t="s">
        <v>1215</v>
      </c>
      <c r="D71" s="851"/>
      <c r="E71" s="844">
        <v>10</v>
      </c>
      <c r="F71" s="844">
        <v>1.7</v>
      </c>
      <c r="G71" s="844">
        <v>40</v>
      </c>
      <c r="H71" s="844">
        <v>1</v>
      </c>
      <c r="I71" s="844" t="str">
        <f t="shared" si="20"/>
        <v>"</v>
      </c>
      <c r="J71" s="844" t="str">
        <f t="shared" si="21"/>
        <v>"</v>
      </c>
      <c r="K71" s="844">
        <f t="shared" si="22"/>
        <v>68</v>
      </c>
      <c r="L71" s="844" t="str">
        <f t="shared" si="23"/>
        <v>"</v>
      </c>
      <c r="M71" s="844" t="str">
        <f t="shared" si="24"/>
        <v>"</v>
      </c>
      <c r="N71" s="844" t="str">
        <f t="shared" si="25"/>
        <v>"</v>
      </c>
      <c r="O71" s="844" t="str">
        <f t="shared" si="26"/>
        <v>"</v>
      </c>
      <c r="P71" s="843" t="str">
        <f t="shared" si="27"/>
        <v>"</v>
      </c>
    </row>
    <row r="72" spans="1:16" ht="19.5">
      <c r="A72" s="1112"/>
      <c r="B72" s="836"/>
      <c r="C72" s="1113"/>
      <c r="D72" s="1114"/>
      <c r="E72" s="836"/>
      <c r="F72" s="836"/>
      <c r="G72" s="836"/>
      <c r="H72" s="836"/>
      <c r="I72" s="836"/>
      <c r="J72" s="836"/>
      <c r="K72" s="836"/>
      <c r="L72" s="836"/>
      <c r="M72" s="836"/>
      <c r="N72" s="836"/>
      <c r="O72" s="836"/>
      <c r="P72" s="1115"/>
    </row>
    <row r="73" spans="1:16" ht="20.25" thickBot="1">
      <c r="A73" s="1112"/>
      <c r="B73" s="836"/>
      <c r="C73" s="1113"/>
      <c r="D73" s="1114"/>
      <c r="E73" s="836"/>
      <c r="F73" s="836"/>
      <c r="G73" s="836"/>
      <c r="H73" s="836"/>
      <c r="I73" s="836"/>
      <c r="J73" s="836"/>
      <c r="K73" s="836"/>
      <c r="L73" s="836"/>
      <c r="M73" s="836"/>
      <c r="N73" s="836"/>
      <c r="O73" s="836"/>
      <c r="P73" s="1115"/>
    </row>
    <row r="74" spans="1:16" ht="20.25" thickBot="1">
      <c r="A74" s="952"/>
      <c r="B74" s="841"/>
      <c r="C74" s="841"/>
      <c r="D74" s="840"/>
      <c r="E74" s="839"/>
      <c r="F74" s="1651" t="s">
        <v>1143</v>
      </c>
      <c r="G74" s="1652"/>
      <c r="H74" s="1653"/>
      <c r="I74" s="893">
        <f t="shared" ref="I74:P74" si="28">SUM(I66:I71)</f>
        <v>0</v>
      </c>
      <c r="J74" s="893">
        <f t="shared" si="28"/>
        <v>0</v>
      </c>
      <c r="K74" s="893">
        <f t="shared" si="28"/>
        <v>1810.25</v>
      </c>
      <c r="L74" s="893">
        <f t="shared" si="28"/>
        <v>0</v>
      </c>
      <c r="M74" s="893">
        <f t="shared" si="28"/>
        <v>168</v>
      </c>
      <c r="N74" s="893">
        <f t="shared" si="28"/>
        <v>0</v>
      </c>
      <c r="O74" s="893">
        <f t="shared" si="28"/>
        <v>0</v>
      </c>
      <c r="P74" s="893">
        <f t="shared" si="28"/>
        <v>0</v>
      </c>
    </row>
    <row r="75" spans="1:16" ht="20.25" thickBot="1">
      <c r="A75" s="953"/>
      <c r="B75" s="836"/>
      <c r="C75" s="836"/>
      <c r="D75" s="838"/>
      <c r="E75" s="837"/>
      <c r="F75" s="1654" t="s">
        <v>1142</v>
      </c>
      <c r="G75" s="1654"/>
      <c r="H75" s="1654"/>
      <c r="I75" s="893">
        <v>0.222</v>
      </c>
      <c r="J75" s="893">
        <v>0.39500000000000002</v>
      </c>
      <c r="K75" s="893">
        <v>0.61699999999999999</v>
      </c>
      <c r="L75" s="893">
        <v>0.88800000000000001</v>
      </c>
      <c r="M75" s="893">
        <v>1.2090000000000001</v>
      </c>
      <c r="N75" s="893">
        <v>1.579</v>
      </c>
      <c r="O75" s="893">
        <v>2.4670000000000001</v>
      </c>
      <c r="P75" s="893">
        <v>3.552</v>
      </c>
    </row>
    <row r="76" spans="1:16" ht="20.25" thickBot="1">
      <c r="A76" s="954"/>
      <c r="B76" s="955"/>
      <c r="C76" s="956"/>
      <c r="D76" s="957"/>
      <c r="E76" s="958"/>
      <c r="F76" s="1655" t="s">
        <v>1141</v>
      </c>
      <c r="G76" s="1655"/>
      <c r="H76" s="1655"/>
      <c r="I76" s="893">
        <f t="shared" ref="I76:P76" si="29">I74*I75</f>
        <v>0</v>
      </c>
      <c r="J76" s="893">
        <f t="shared" si="29"/>
        <v>0</v>
      </c>
      <c r="K76" s="893">
        <f t="shared" si="29"/>
        <v>1116.92425</v>
      </c>
      <c r="L76" s="893">
        <f t="shared" si="29"/>
        <v>0</v>
      </c>
      <c r="M76" s="893">
        <f t="shared" si="29"/>
        <v>203.11200000000002</v>
      </c>
      <c r="N76" s="893">
        <f t="shared" si="29"/>
        <v>0</v>
      </c>
      <c r="O76" s="893">
        <f t="shared" si="29"/>
        <v>0</v>
      </c>
      <c r="P76" s="893">
        <f t="shared" si="29"/>
        <v>0</v>
      </c>
    </row>
    <row r="77" spans="1:16" ht="20.25" thickBot="1">
      <c r="A77" s="953"/>
      <c r="B77" s="835"/>
      <c r="C77" s="834"/>
      <c r="D77" s="833"/>
      <c r="E77" s="1116"/>
      <c r="F77" s="1117"/>
      <c r="G77" s="1117"/>
      <c r="H77" s="1117"/>
      <c r="I77" s="841"/>
      <c r="J77" s="841"/>
      <c r="K77" s="841"/>
      <c r="L77" s="841"/>
      <c r="M77" s="841"/>
      <c r="N77" s="841"/>
      <c r="O77" s="841"/>
      <c r="P77" s="1118"/>
    </row>
    <row r="78" spans="1:16" ht="20.25" thickBot="1">
      <c r="A78" s="953"/>
      <c r="B78" s="835"/>
      <c r="C78" s="834"/>
      <c r="D78" s="833"/>
      <c r="E78" s="1116"/>
      <c r="F78" s="1117"/>
      <c r="G78" s="1117"/>
      <c r="H78" s="1117"/>
      <c r="I78" s="841"/>
      <c r="J78" s="841"/>
      <c r="K78" s="841"/>
      <c r="L78" s="841"/>
      <c r="M78" s="841"/>
      <c r="N78" s="841"/>
      <c r="O78" s="841"/>
      <c r="P78" s="1118"/>
    </row>
    <row r="79" spans="1:16" ht="20.25" thickBot="1">
      <c r="A79" s="953"/>
      <c r="B79" s="835"/>
      <c r="C79" s="834"/>
      <c r="D79" s="833"/>
      <c r="E79" s="1116"/>
      <c r="F79" s="1117"/>
      <c r="G79" s="1117"/>
      <c r="H79" s="1117"/>
      <c r="I79" s="841"/>
      <c r="J79" s="841"/>
      <c r="K79" s="841"/>
      <c r="L79" s="841"/>
      <c r="M79" s="841"/>
      <c r="N79" s="841"/>
      <c r="O79" s="841"/>
      <c r="P79" s="1118"/>
    </row>
    <row r="80" spans="1:16">
      <c r="A80" s="862"/>
      <c r="B80" s="1656" t="s">
        <v>1151</v>
      </c>
      <c r="C80" s="1658" t="s">
        <v>73</v>
      </c>
      <c r="D80" s="1660" t="s">
        <v>74</v>
      </c>
      <c r="E80" s="1662" t="s">
        <v>1150</v>
      </c>
      <c r="F80" s="1664" t="s">
        <v>1149</v>
      </c>
      <c r="G80" s="875" t="s">
        <v>75</v>
      </c>
      <c r="H80" s="860" t="s">
        <v>1148</v>
      </c>
      <c r="I80" s="1666" t="s">
        <v>1147</v>
      </c>
      <c r="J80" s="1667"/>
      <c r="K80" s="1667"/>
      <c r="L80" s="1667"/>
      <c r="M80" s="1667"/>
      <c r="N80" s="1667"/>
      <c r="O80" s="1667"/>
      <c r="P80" s="1668"/>
    </row>
    <row r="81" spans="1:16" ht="19.5" thickBot="1">
      <c r="A81" s="859"/>
      <c r="B81" s="1657"/>
      <c r="C81" s="1659"/>
      <c r="D81" s="1661"/>
      <c r="E81" s="1663"/>
      <c r="F81" s="1665"/>
      <c r="G81" s="858" t="s">
        <v>1146</v>
      </c>
      <c r="H81" s="857" t="s">
        <v>1145</v>
      </c>
      <c r="I81" s="856">
        <v>6</v>
      </c>
      <c r="J81" s="856">
        <v>8</v>
      </c>
      <c r="K81" s="856">
        <v>10</v>
      </c>
      <c r="L81" s="856">
        <v>12</v>
      </c>
      <c r="M81" s="856">
        <v>14</v>
      </c>
      <c r="N81" s="856">
        <v>16</v>
      </c>
      <c r="O81" s="856">
        <v>20</v>
      </c>
      <c r="P81" s="855">
        <v>24</v>
      </c>
    </row>
    <row r="82" spans="1:16" ht="20.25" thickTop="1">
      <c r="A82" s="853"/>
      <c r="B82" s="1648" t="s">
        <v>1216</v>
      </c>
      <c r="C82" s="1649"/>
      <c r="D82" s="1650"/>
      <c r="E82" s="844"/>
      <c r="F82" s="844"/>
      <c r="G82" s="844"/>
      <c r="H82" s="844"/>
      <c r="I82" s="844"/>
      <c r="J82" s="844"/>
      <c r="K82" s="844"/>
      <c r="L82" s="844"/>
      <c r="M82" s="844"/>
      <c r="N82" s="844"/>
      <c r="O82" s="844"/>
      <c r="P82" s="843"/>
    </row>
    <row r="83" spans="1:16" ht="21">
      <c r="A83" s="853"/>
      <c r="B83" s="844">
        <v>4</v>
      </c>
      <c r="C83" s="854" t="s">
        <v>1217</v>
      </c>
      <c r="D83" s="851"/>
      <c r="E83" s="844">
        <v>12</v>
      </c>
      <c r="F83" s="844">
        <v>8.75</v>
      </c>
      <c r="G83" s="844">
        <v>38</v>
      </c>
      <c r="H83" s="844">
        <v>1</v>
      </c>
      <c r="I83" s="844" t="str">
        <f t="shared" ref="I83:I86" si="30">IF(E83=6,F83*G83*H83,"""")</f>
        <v>"</v>
      </c>
      <c r="J83" s="844" t="str">
        <f t="shared" ref="J83:J86" si="31">IF(E83=8,F83*G83*H83,"""")</f>
        <v>"</v>
      </c>
      <c r="K83" s="844" t="str">
        <f t="shared" ref="K83:K86" si="32">IF(E83=10,F83*G83*H83,"""")</f>
        <v>"</v>
      </c>
      <c r="L83" s="844">
        <f t="shared" ref="L83:L86" si="33">IF(E83=12,F83*G83*H83,"""")</f>
        <v>332.5</v>
      </c>
      <c r="M83" s="844" t="str">
        <f t="shared" ref="M83:M86" si="34">IF(E83=14,F83*G83*H83,"""")</f>
        <v>"</v>
      </c>
      <c r="N83" s="844" t="str">
        <f t="shared" ref="N83:N86" si="35">IF(E83=16,F83*G83*H83,"""")</f>
        <v>"</v>
      </c>
      <c r="O83" s="844" t="str">
        <f t="shared" ref="O83:O86" si="36">IF(E83=20,F83*G83*H83,"""")</f>
        <v>"</v>
      </c>
      <c r="P83" s="843" t="str">
        <f t="shared" ref="P83:P86" si="37">IF(E83=24,F83*G83*H83,"""")</f>
        <v>"</v>
      </c>
    </row>
    <row r="84" spans="1:16" ht="19.5">
      <c r="A84" s="853"/>
      <c r="B84" s="844" t="s">
        <v>1219</v>
      </c>
      <c r="C84" s="852" t="s">
        <v>1218</v>
      </c>
      <c r="D84" s="851"/>
      <c r="E84" s="844">
        <v>12</v>
      </c>
      <c r="F84" s="844">
        <v>8.65</v>
      </c>
      <c r="G84" s="844">
        <v>38</v>
      </c>
      <c r="H84" s="844">
        <v>1</v>
      </c>
      <c r="I84" s="844" t="str">
        <f t="shared" si="30"/>
        <v>"</v>
      </c>
      <c r="J84" s="844" t="str">
        <f t="shared" si="31"/>
        <v>"</v>
      </c>
      <c r="K84" s="844" t="str">
        <f>IF(E84=10,F84*G84*H84,"""")</f>
        <v>"</v>
      </c>
      <c r="L84" s="844">
        <f t="shared" si="33"/>
        <v>328.7</v>
      </c>
      <c r="M84" s="844" t="str">
        <f t="shared" si="34"/>
        <v>"</v>
      </c>
      <c r="N84" s="844" t="str">
        <f t="shared" si="35"/>
        <v>"</v>
      </c>
      <c r="O84" s="844" t="str">
        <f t="shared" si="36"/>
        <v>"</v>
      </c>
      <c r="P84" s="843" t="str">
        <f t="shared" si="37"/>
        <v>"</v>
      </c>
    </row>
    <row r="85" spans="1:16" ht="19.5">
      <c r="A85" s="853"/>
      <c r="B85" s="844" t="s">
        <v>1220</v>
      </c>
      <c r="C85" s="852" t="s">
        <v>770</v>
      </c>
      <c r="D85" s="851"/>
      <c r="E85" s="844">
        <v>12</v>
      </c>
      <c r="F85" s="844">
        <v>6.4</v>
      </c>
      <c r="G85" s="844">
        <v>130</v>
      </c>
      <c r="H85" s="844">
        <v>1</v>
      </c>
      <c r="I85" s="844" t="str">
        <f t="shared" si="30"/>
        <v>"</v>
      </c>
      <c r="J85" s="844" t="str">
        <f t="shared" si="31"/>
        <v>"</v>
      </c>
      <c r="K85" s="844" t="str">
        <f t="shared" si="32"/>
        <v>"</v>
      </c>
      <c r="L85" s="844">
        <f t="shared" si="33"/>
        <v>832</v>
      </c>
      <c r="M85" s="844" t="str">
        <f t="shared" si="34"/>
        <v>"</v>
      </c>
      <c r="N85" s="844" t="str">
        <f t="shared" si="35"/>
        <v>"</v>
      </c>
      <c r="O85" s="844" t="str">
        <f t="shared" si="36"/>
        <v>"</v>
      </c>
      <c r="P85" s="843" t="str">
        <f t="shared" si="37"/>
        <v>"</v>
      </c>
    </row>
    <row r="86" spans="1:16" ht="20.25" thickBot="1">
      <c r="A86" s="853"/>
      <c r="B86" s="844">
        <v>5</v>
      </c>
      <c r="C86" s="852"/>
      <c r="D86" s="851"/>
      <c r="E86" s="844">
        <v>12</v>
      </c>
      <c r="F86" s="844">
        <v>1</v>
      </c>
      <c r="G86" s="844">
        <v>38</v>
      </c>
      <c r="H86" s="844">
        <v>1</v>
      </c>
      <c r="I86" s="844" t="str">
        <f t="shared" si="30"/>
        <v>"</v>
      </c>
      <c r="J86" s="844" t="str">
        <f t="shared" si="31"/>
        <v>"</v>
      </c>
      <c r="K86" s="844" t="str">
        <f t="shared" si="32"/>
        <v>"</v>
      </c>
      <c r="L86" s="844">
        <f t="shared" si="33"/>
        <v>38</v>
      </c>
      <c r="M86" s="844" t="str">
        <f t="shared" si="34"/>
        <v>"</v>
      </c>
      <c r="N86" s="844" t="str">
        <f t="shared" si="35"/>
        <v>"</v>
      </c>
      <c r="O86" s="844" t="str">
        <f t="shared" si="36"/>
        <v>"</v>
      </c>
      <c r="P86" s="843" t="str">
        <f t="shared" si="37"/>
        <v>"</v>
      </c>
    </row>
    <row r="87" spans="1:16" ht="20.25" thickBot="1">
      <c r="A87" s="842"/>
      <c r="B87" s="841"/>
      <c r="C87" s="841"/>
      <c r="D87" s="840"/>
      <c r="E87" s="839"/>
      <c r="F87" s="1651" t="s">
        <v>1143</v>
      </c>
      <c r="G87" s="1652"/>
      <c r="H87" s="1653"/>
      <c r="I87" s="876">
        <f t="shared" ref="I87:P87" si="38">SUM(I82:I86)</f>
        <v>0</v>
      </c>
      <c r="J87" s="876">
        <f t="shared" si="38"/>
        <v>0</v>
      </c>
      <c r="K87" s="876">
        <f t="shared" si="38"/>
        <v>0</v>
      </c>
      <c r="L87" s="876">
        <f t="shared" si="38"/>
        <v>1531.2</v>
      </c>
      <c r="M87" s="876">
        <f t="shared" si="38"/>
        <v>0</v>
      </c>
      <c r="N87" s="876">
        <f t="shared" si="38"/>
        <v>0</v>
      </c>
      <c r="O87" s="876">
        <f t="shared" si="38"/>
        <v>0</v>
      </c>
      <c r="P87" s="876">
        <f t="shared" si="38"/>
        <v>0</v>
      </c>
    </row>
    <row r="88" spans="1:16" ht="20.25" thickBot="1">
      <c r="A88" s="836"/>
      <c r="B88" s="836"/>
      <c r="C88" s="836"/>
      <c r="D88" s="838"/>
      <c r="E88" s="837"/>
      <c r="F88" s="1654" t="s">
        <v>1142</v>
      </c>
      <c r="G88" s="1654"/>
      <c r="H88" s="1654"/>
      <c r="I88" s="876">
        <v>0.222</v>
      </c>
      <c r="J88" s="876">
        <v>0.39500000000000002</v>
      </c>
      <c r="K88" s="876">
        <v>0.61699999999999999</v>
      </c>
      <c r="L88" s="876">
        <v>0.88800000000000001</v>
      </c>
      <c r="M88" s="876">
        <v>1.2090000000000001</v>
      </c>
      <c r="N88" s="876">
        <v>1.579</v>
      </c>
      <c r="O88" s="876">
        <v>2.4670000000000001</v>
      </c>
      <c r="P88" s="876">
        <v>3.552</v>
      </c>
    </row>
    <row r="89" spans="1:16" ht="20.25" thickBot="1">
      <c r="A89" s="836"/>
      <c r="B89" s="835"/>
      <c r="C89" s="834"/>
      <c r="D89" s="833"/>
      <c r="E89" s="832"/>
      <c r="F89" s="1655" t="s">
        <v>1141</v>
      </c>
      <c r="G89" s="1655"/>
      <c r="H89" s="1655"/>
      <c r="I89" s="876">
        <f t="shared" ref="I89:P89" si="39">I87*I88</f>
        <v>0</v>
      </c>
      <c r="J89" s="876">
        <f t="shared" si="39"/>
        <v>0</v>
      </c>
      <c r="K89" s="876">
        <f t="shared" si="39"/>
        <v>0</v>
      </c>
      <c r="L89" s="876">
        <f t="shared" si="39"/>
        <v>1359.7056</v>
      </c>
      <c r="M89" s="876">
        <f t="shared" si="39"/>
        <v>0</v>
      </c>
      <c r="N89" s="876">
        <f t="shared" si="39"/>
        <v>0</v>
      </c>
      <c r="O89" s="876">
        <f t="shared" si="39"/>
        <v>0</v>
      </c>
      <c r="P89" s="876">
        <f t="shared" si="39"/>
        <v>0</v>
      </c>
    </row>
    <row r="90" spans="1:16">
      <c r="A90" s="862"/>
      <c r="B90" s="1656" t="s">
        <v>1151</v>
      </c>
      <c r="C90" s="1658" t="s">
        <v>73</v>
      </c>
      <c r="D90" s="1660" t="s">
        <v>74</v>
      </c>
      <c r="E90" s="1662" t="s">
        <v>1150</v>
      </c>
      <c r="F90" s="1664" t="s">
        <v>1149</v>
      </c>
      <c r="G90" s="875" t="s">
        <v>75</v>
      </c>
      <c r="H90" s="860" t="s">
        <v>1148</v>
      </c>
      <c r="I90" s="1666" t="s">
        <v>1147</v>
      </c>
      <c r="J90" s="1667"/>
      <c r="K90" s="1667"/>
      <c r="L90" s="1667"/>
      <c r="M90" s="1667"/>
      <c r="N90" s="1667"/>
      <c r="O90" s="1667"/>
      <c r="P90" s="1668"/>
    </row>
    <row r="91" spans="1:16" ht="19.5" thickBot="1">
      <c r="A91" s="859"/>
      <c r="B91" s="1657"/>
      <c r="C91" s="1659"/>
      <c r="D91" s="1661"/>
      <c r="E91" s="1663"/>
      <c r="F91" s="1665"/>
      <c r="G91" s="858" t="s">
        <v>1146</v>
      </c>
      <c r="H91" s="857" t="s">
        <v>1145</v>
      </c>
      <c r="I91" s="856">
        <v>6</v>
      </c>
      <c r="J91" s="856">
        <v>8</v>
      </c>
      <c r="K91" s="856">
        <v>10</v>
      </c>
      <c r="L91" s="856">
        <v>12</v>
      </c>
      <c r="M91" s="856">
        <v>14</v>
      </c>
      <c r="N91" s="856">
        <v>16</v>
      </c>
      <c r="O91" s="856">
        <v>20</v>
      </c>
      <c r="P91" s="855">
        <v>24</v>
      </c>
    </row>
    <row r="92" spans="1:16" ht="20.25" thickTop="1">
      <c r="A92" s="853"/>
      <c r="B92" s="1648" t="s">
        <v>1144</v>
      </c>
      <c r="C92" s="1649"/>
      <c r="D92" s="1650"/>
      <c r="E92" s="844"/>
      <c r="F92" s="844"/>
      <c r="G92" s="844"/>
      <c r="H92" s="844"/>
      <c r="I92" s="844"/>
      <c r="J92" s="844"/>
      <c r="K92" s="844"/>
      <c r="L92" s="844"/>
      <c r="M92" s="844"/>
      <c r="N92" s="844"/>
      <c r="O92" s="844"/>
      <c r="P92" s="843"/>
    </row>
    <row r="93" spans="1:16" ht="21">
      <c r="A93" s="853"/>
      <c r="B93" s="844"/>
      <c r="C93" s="887" t="s">
        <v>1160</v>
      </c>
      <c r="D93" s="851"/>
      <c r="E93" s="844">
        <v>12</v>
      </c>
      <c r="F93" s="844">
        <v>5.35</v>
      </c>
      <c r="G93" s="844">
        <v>5</v>
      </c>
      <c r="H93" s="844">
        <v>1</v>
      </c>
      <c r="I93" s="844" t="str">
        <f t="shared" ref="I93:I119" si="40">IF(E93=6,F93*G93*H93,"""")</f>
        <v>"</v>
      </c>
      <c r="J93" s="844" t="str">
        <f t="shared" ref="J93:J119" si="41">IF(E93=8,F93*G93*H93,"""")</f>
        <v>"</v>
      </c>
      <c r="K93" s="844" t="str">
        <f t="shared" ref="K93" si="42">IF(E93=10,F93*G93*H93,"""")</f>
        <v>"</v>
      </c>
      <c r="L93" s="844">
        <f t="shared" ref="L93:L106" si="43">IF(E93=12,F93*G93*H93,"""")</f>
        <v>26.75</v>
      </c>
      <c r="M93" s="844" t="str">
        <f t="shared" ref="M93:M119" si="44">IF(E93=14,F93*G93*H93,"""")</f>
        <v>"</v>
      </c>
      <c r="N93" s="844" t="str">
        <f t="shared" ref="N93:N119" si="45">IF(E93=16,F93*G93*H93,"""")</f>
        <v>"</v>
      </c>
      <c r="O93" s="844" t="str">
        <f t="shared" ref="O93:O119" si="46">IF(E93=20,F93*G93*H93,"""")</f>
        <v>"</v>
      </c>
      <c r="P93" s="843" t="str">
        <f t="shared" ref="P93:P119" si="47">IF(E93=24,F93*G93*H93,"""")</f>
        <v>"</v>
      </c>
    </row>
    <row r="94" spans="1:16" ht="19.5">
      <c r="A94" s="853"/>
      <c r="B94" s="844"/>
      <c r="C94" s="852"/>
      <c r="D94" s="851"/>
      <c r="E94" s="844">
        <v>12</v>
      </c>
      <c r="F94" s="844">
        <v>6.2</v>
      </c>
      <c r="G94" s="844">
        <v>6</v>
      </c>
      <c r="H94" s="844">
        <v>1</v>
      </c>
      <c r="I94" s="844" t="str">
        <f t="shared" si="40"/>
        <v>"</v>
      </c>
      <c r="J94" s="844" t="str">
        <f t="shared" si="41"/>
        <v>"</v>
      </c>
      <c r="K94" s="844" t="str">
        <f>IF(E94=10,F94*G94*H94,"""")</f>
        <v>"</v>
      </c>
      <c r="L94" s="844">
        <f t="shared" si="43"/>
        <v>37.200000000000003</v>
      </c>
      <c r="M94" s="844" t="str">
        <f t="shared" si="44"/>
        <v>"</v>
      </c>
      <c r="N94" s="844" t="str">
        <f t="shared" si="45"/>
        <v>"</v>
      </c>
      <c r="O94" s="844" t="str">
        <f t="shared" si="46"/>
        <v>"</v>
      </c>
      <c r="P94" s="843" t="str">
        <f t="shared" si="47"/>
        <v>"</v>
      </c>
    </row>
    <row r="95" spans="1:16" ht="19.5">
      <c r="A95" s="853"/>
      <c r="B95" s="844"/>
      <c r="C95" s="852"/>
      <c r="D95" s="851"/>
      <c r="E95" s="844">
        <v>12</v>
      </c>
      <c r="F95" s="844">
        <v>6.35</v>
      </c>
      <c r="G95" s="844">
        <v>4</v>
      </c>
      <c r="H95" s="844">
        <v>1</v>
      </c>
      <c r="I95" s="844" t="str">
        <f t="shared" si="40"/>
        <v>"</v>
      </c>
      <c r="J95" s="844" t="str">
        <f t="shared" si="41"/>
        <v>"</v>
      </c>
      <c r="K95" s="844" t="str">
        <f t="shared" ref="K95:K119" si="48">IF(E95=10,F95*G95*H95,"""")</f>
        <v>"</v>
      </c>
      <c r="L95" s="844">
        <f t="shared" si="43"/>
        <v>25.4</v>
      </c>
      <c r="M95" s="844" t="str">
        <f t="shared" si="44"/>
        <v>"</v>
      </c>
      <c r="N95" s="844" t="str">
        <f t="shared" si="45"/>
        <v>"</v>
      </c>
      <c r="O95" s="844" t="str">
        <f t="shared" si="46"/>
        <v>"</v>
      </c>
      <c r="P95" s="843" t="str">
        <f t="shared" si="47"/>
        <v>"</v>
      </c>
    </row>
    <row r="96" spans="1:16" ht="19.5">
      <c r="A96" s="853"/>
      <c r="B96" s="844"/>
      <c r="C96" s="852"/>
      <c r="D96" s="851"/>
      <c r="E96" s="844">
        <v>12</v>
      </c>
      <c r="F96" s="844">
        <v>6.1</v>
      </c>
      <c r="G96" s="844">
        <v>2</v>
      </c>
      <c r="H96" s="844">
        <v>1</v>
      </c>
      <c r="I96" s="844" t="str">
        <f t="shared" si="40"/>
        <v>"</v>
      </c>
      <c r="J96" s="844" t="str">
        <f t="shared" si="41"/>
        <v>"</v>
      </c>
      <c r="K96" s="844" t="str">
        <f t="shared" si="48"/>
        <v>"</v>
      </c>
      <c r="L96" s="844">
        <f t="shared" si="43"/>
        <v>12.2</v>
      </c>
      <c r="M96" s="844" t="str">
        <f t="shared" si="44"/>
        <v>"</v>
      </c>
      <c r="N96" s="844" t="str">
        <f t="shared" si="45"/>
        <v>"</v>
      </c>
      <c r="O96" s="844" t="str">
        <f t="shared" si="46"/>
        <v>"</v>
      </c>
      <c r="P96" s="843" t="str">
        <f t="shared" si="47"/>
        <v>"</v>
      </c>
    </row>
    <row r="97" spans="1:16" ht="19.5">
      <c r="A97" s="853"/>
      <c r="B97" s="844"/>
      <c r="C97" s="852"/>
      <c r="D97" s="851"/>
      <c r="E97" s="844">
        <v>12</v>
      </c>
      <c r="F97" s="844">
        <v>6.3</v>
      </c>
      <c r="G97" s="844">
        <v>1</v>
      </c>
      <c r="H97" s="844">
        <v>1</v>
      </c>
      <c r="I97" s="844" t="str">
        <f t="shared" si="40"/>
        <v>"</v>
      </c>
      <c r="J97" s="844" t="str">
        <f t="shared" si="41"/>
        <v>"</v>
      </c>
      <c r="K97" s="844" t="str">
        <f t="shared" si="48"/>
        <v>"</v>
      </c>
      <c r="L97" s="844">
        <f t="shared" si="43"/>
        <v>6.3</v>
      </c>
      <c r="M97" s="844" t="str">
        <f t="shared" si="44"/>
        <v>"</v>
      </c>
      <c r="N97" s="844" t="str">
        <f t="shared" si="45"/>
        <v>"</v>
      </c>
      <c r="O97" s="844" t="str">
        <f t="shared" si="46"/>
        <v>"</v>
      </c>
      <c r="P97" s="843" t="str">
        <f t="shared" si="47"/>
        <v>"</v>
      </c>
    </row>
    <row r="98" spans="1:16" ht="19.5">
      <c r="A98" s="853"/>
      <c r="B98" s="844"/>
      <c r="C98" s="852"/>
      <c r="D98" s="851"/>
      <c r="E98" s="844">
        <v>12</v>
      </c>
      <c r="F98" s="844">
        <v>5.05</v>
      </c>
      <c r="G98" s="844">
        <v>3</v>
      </c>
      <c r="H98" s="844">
        <v>1</v>
      </c>
      <c r="I98" s="844" t="str">
        <f t="shared" si="40"/>
        <v>"</v>
      </c>
      <c r="J98" s="844" t="str">
        <f t="shared" si="41"/>
        <v>"</v>
      </c>
      <c r="K98" s="844" t="str">
        <f t="shared" si="48"/>
        <v>"</v>
      </c>
      <c r="L98" s="844">
        <f t="shared" si="43"/>
        <v>15.149999999999999</v>
      </c>
      <c r="M98" s="844" t="str">
        <f t="shared" si="44"/>
        <v>"</v>
      </c>
      <c r="N98" s="844" t="str">
        <f t="shared" si="45"/>
        <v>"</v>
      </c>
      <c r="O98" s="844" t="str">
        <f t="shared" si="46"/>
        <v>"</v>
      </c>
      <c r="P98" s="843" t="str">
        <f t="shared" si="47"/>
        <v>"</v>
      </c>
    </row>
    <row r="99" spans="1:16" ht="19.5">
      <c r="A99" s="853"/>
      <c r="B99" s="844"/>
      <c r="C99" s="852"/>
      <c r="D99" s="851"/>
      <c r="E99" s="844">
        <v>12</v>
      </c>
      <c r="F99" s="844">
        <v>6.9</v>
      </c>
      <c r="G99" s="844">
        <v>4</v>
      </c>
      <c r="H99" s="844">
        <v>1</v>
      </c>
      <c r="I99" s="844" t="str">
        <f t="shared" si="40"/>
        <v>"</v>
      </c>
      <c r="J99" s="844" t="str">
        <f t="shared" si="41"/>
        <v>"</v>
      </c>
      <c r="K99" s="844" t="str">
        <f t="shared" si="48"/>
        <v>"</v>
      </c>
      <c r="L99" s="844">
        <f t="shared" si="43"/>
        <v>27.6</v>
      </c>
      <c r="M99" s="844" t="str">
        <f t="shared" si="44"/>
        <v>"</v>
      </c>
      <c r="N99" s="844" t="str">
        <f t="shared" si="45"/>
        <v>"</v>
      </c>
      <c r="O99" s="844" t="str">
        <f t="shared" si="46"/>
        <v>"</v>
      </c>
      <c r="P99" s="843" t="str">
        <f t="shared" si="47"/>
        <v>"</v>
      </c>
    </row>
    <row r="100" spans="1:16" ht="19.5">
      <c r="A100" s="853"/>
      <c r="B100" s="844"/>
      <c r="C100" s="852"/>
      <c r="D100" s="851"/>
      <c r="E100" s="844">
        <v>12</v>
      </c>
      <c r="F100" s="844">
        <v>4.6500000000000004</v>
      </c>
      <c r="G100" s="844">
        <v>4</v>
      </c>
      <c r="H100" s="844">
        <v>1</v>
      </c>
      <c r="I100" s="844" t="str">
        <f t="shared" si="40"/>
        <v>"</v>
      </c>
      <c r="J100" s="844" t="str">
        <f t="shared" si="41"/>
        <v>"</v>
      </c>
      <c r="K100" s="844" t="str">
        <f t="shared" si="48"/>
        <v>"</v>
      </c>
      <c r="L100" s="844">
        <f t="shared" si="43"/>
        <v>18.600000000000001</v>
      </c>
      <c r="M100" s="844" t="str">
        <f t="shared" si="44"/>
        <v>"</v>
      </c>
      <c r="N100" s="844" t="str">
        <f t="shared" si="45"/>
        <v>"</v>
      </c>
      <c r="O100" s="844" t="str">
        <f t="shared" si="46"/>
        <v>"</v>
      </c>
      <c r="P100" s="843" t="str">
        <f t="shared" si="47"/>
        <v>"</v>
      </c>
    </row>
    <row r="101" spans="1:16" ht="19.5">
      <c r="A101" s="853"/>
      <c r="B101" s="844"/>
      <c r="C101" s="852"/>
      <c r="D101" s="851"/>
      <c r="E101" s="844">
        <v>12</v>
      </c>
      <c r="F101" s="844">
        <v>5.3</v>
      </c>
      <c r="G101" s="844">
        <v>1</v>
      </c>
      <c r="H101" s="844">
        <v>1</v>
      </c>
      <c r="I101" s="844" t="str">
        <f t="shared" si="40"/>
        <v>"</v>
      </c>
      <c r="J101" s="844" t="str">
        <f t="shared" si="41"/>
        <v>"</v>
      </c>
      <c r="K101" s="844" t="str">
        <f t="shared" si="48"/>
        <v>"</v>
      </c>
      <c r="L101" s="844">
        <f t="shared" si="43"/>
        <v>5.3</v>
      </c>
      <c r="M101" s="844" t="str">
        <f t="shared" si="44"/>
        <v>"</v>
      </c>
      <c r="N101" s="844" t="str">
        <f t="shared" si="45"/>
        <v>"</v>
      </c>
      <c r="O101" s="844" t="str">
        <f t="shared" si="46"/>
        <v>"</v>
      </c>
      <c r="P101" s="843" t="str">
        <f t="shared" si="47"/>
        <v>"</v>
      </c>
    </row>
    <row r="102" spans="1:16" ht="19.5">
      <c r="A102" s="853"/>
      <c r="B102" s="844"/>
      <c r="C102" s="852"/>
      <c r="D102" s="851"/>
      <c r="E102" s="844">
        <v>12</v>
      </c>
      <c r="F102" s="844">
        <v>7.3</v>
      </c>
      <c r="G102" s="844">
        <v>1</v>
      </c>
      <c r="H102" s="844">
        <v>1</v>
      </c>
      <c r="I102" s="844" t="str">
        <f t="shared" si="40"/>
        <v>"</v>
      </c>
      <c r="J102" s="844" t="str">
        <f t="shared" si="41"/>
        <v>"</v>
      </c>
      <c r="K102" s="844" t="str">
        <f t="shared" si="48"/>
        <v>"</v>
      </c>
      <c r="L102" s="844">
        <f t="shared" si="43"/>
        <v>7.3</v>
      </c>
      <c r="M102" s="844" t="str">
        <f t="shared" si="44"/>
        <v>"</v>
      </c>
      <c r="N102" s="844" t="str">
        <f t="shared" si="45"/>
        <v>"</v>
      </c>
      <c r="O102" s="844" t="str">
        <f t="shared" si="46"/>
        <v>"</v>
      </c>
      <c r="P102" s="843" t="str">
        <f t="shared" si="47"/>
        <v>"</v>
      </c>
    </row>
    <row r="103" spans="1:16" ht="19.5">
      <c r="A103" s="847"/>
      <c r="B103" s="845"/>
      <c r="C103" s="848"/>
      <c r="D103" s="849"/>
      <c r="E103" s="844">
        <v>12</v>
      </c>
      <c r="F103" s="845">
        <v>4.5999999999999996</v>
      </c>
      <c r="G103" s="844">
        <v>7</v>
      </c>
      <c r="H103" s="844">
        <v>1</v>
      </c>
      <c r="I103" s="844" t="str">
        <f t="shared" si="40"/>
        <v>"</v>
      </c>
      <c r="J103" s="844" t="str">
        <f t="shared" si="41"/>
        <v>"</v>
      </c>
      <c r="K103" s="844" t="str">
        <f t="shared" si="48"/>
        <v>"</v>
      </c>
      <c r="L103" s="844">
        <f t="shared" si="43"/>
        <v>32.199999999999996</v>
      </c>
      <c r="M103" s="844" t="str">
        <f t="shared" si="44"/>
        <v>"</v>
      </c>
      <c r="N103" s="844" t="str">
        <f t="shared" si="45"/>
        <v>"</v>
      </c>
      <c r="O103" s="844" t="str">
        <f t="shared" si="46"/>
        <v>"</v>
      </c>
      <c r="P103" s="843" t="str">
        <f t="shared" si="47"/>
        <v>"</v>
      </c>
    </row>
    <row r="104" spans="1:16" ht="19.5">
      <c r="A104" s="847"/>
      <c r="B104" s="845"/>
      <c r="C104" s="848"/>
      <c r="D104" s="849"/>
      <c r="E104" s="844">
        <v>12</v>
      </c>
      <c r="F104" s="845">
        <v>2.5</v>
      </c>
      <c r="G104" s="844">
        <v>4</v>
      </c>
      <c r="H104" s="844">
        <v>1</v>
      </c>
      <c r="I104" s="844" t="str">
        <f t="shared" si="40"/>
        <v>"</v>
      </c>
      <c r="J104" s="844" t="str">
        <f t="shared" si="41"/>
        <v>"</v>
      </c>
      <c r="K104" s="844" t="str">
        <f t="shared" si="48"/>
        <v>"</v>
      </c>
      <c r="L104" s="844">
        <f t="shared" si="43"/>
        <v>10</v>
      </c>
      <c r="M104" s="844" t="str">
        <f t="shared" si="44"/>
        <v>"</v>
      </c>
      <c r="N104" s="844" t="str">
        <f t="shared" si="45"/>
        <v>"</v>
      </c>
      <c r="O104" s="844" t="str">
        <f t="shared" si="46"/>
        <v>"</v>
      </c>
      <c r="P104" s="843" t="str">
        <f t="shared" si="47"/>
        <v>"</v>
      </c>
    </row>
    <row r="105" spans="1:16" ht="19.5">
      <c r="A105" s="847"/>
      <c r="B105" s="845"/>
      <c r="C105" s="848"/>
      <c r="D105" s="849"/>
      <c r="E105" s="844">
        <v>12</v>
      </c>
      <c r="F105" s="850">
        <v>3.5</v>
      </c>
      <c r="G105" s="844">
        <v>7</v>
      </c>
      <c r="H105" s="844">
        <v>1</v>
      </c>
      <c r="I105" s="844" t="str">
        <f t="shared" si="40"/>
        <v>"</v>
      </c>
      <c r="J105" s="844" t="str">
        <f t="shared" si="41"/>
        <v>"</v>
      </c>
      <c r="K105" s="844" t="str">
        <f t="shared" si="48"/>
        <v>"</v>
      </c>
      <c r="L105" s="844">
        <f t="shared" si="43"/>
        <v>24.5</v>
      </c>
      <c r="M105" s="844" t="str">
        <f t="shared" si="44"/>
        <v>"</v>
      </c>
      <c r="N105" s="844" t="str">
        <f t="shared" si="45"/>
        <v>"</v>
      </c>
      <c r="O105" s="844" t="str">
        <f t="shared" si="46"/>
        <v>"</v>
      </c>
      <c r="P105" s="843" t="str">
        <f t="shared" si="47"/>
        <v>"</v>
      </c>
    </row>
    <row r="106" spans="1:16" ht="19.5">
      <c r="A106" s="847"/>
      <c r="B106" s="845"/>
      <c r="C106" s="848"/>
      <c r="D106" s="849"/>
      <c r="E106" s="844">
        <v>12</v>
      </c>
      <c r="F106" s="845">
        <v>3.2</v>
      </c>
      <c r="G106" s="844">
        <v>7</v>
      </c>
      <c r="H106" s="844">
        <v>1</v>
      </c>
      <c r="I106" s="844" t="str">
        <f t="shared" si="40"/>
        <v>"</v>
      </c>
      <c r="J106" s="844" t="str">
        <f t="shared" si="41"/>
        <v>"</v>
      </c>
      <c r="K106" s="844" t="str">
        <f t="shared" si="48"/>
        <v>"</v>
      </c>
      <c r="L106" s="844">
        <f t="shared" si="43"/>
        <v>22.400000000000002</v>
      </c>
      <c r="M106" s="844" t="str">
        <f t="shared" si="44"/>
        <v>"</v>
      </c>
      <c r="N106" s="844" t="str">
        <f t="shared" si="45"/>
        <v>"</v>
      </c>
      <c r="O106" s="844" t="str">
        <f t="shared" si="46"/>
        <v>"</v>
      </c>
      <c r="P106" s="843" t="str">
        <f t="shared" si="47"/>
        <v>"</v>
      </c>
    </row>
    <row r="107" spans="1:16" ht="19.5">
      <c r="A107" s="847"/>
      <c r="B107" s="845"/>
      <c r="C107" s="848"/>
      <c r="D107" s="846"/>
      <c r="E107" s="844"/>
      <c r="F107" s="845"/>
      <c r="G107" s="844"/>
      <c r="H107" s="844"/>
      <c r="I107" s="844" t="str">
        <f t="shared" si="40"/>
        <v>"</v>
      </c>
      <c r="J107" s="844" t="str">
        <f t="shared" si="41"/>
        <v>"</v>
      </c>
      <c r="K107" s="844" t="str">
        <f t="shared" si="48"/>
        <v>"</v>
      </c>
      <c r="L107" s="844"/>
      <c r="M107" s="844" t="str">
        <f t="shared" si="44"/>
        <v>"</v>
      </c>
      <c r="N107" s="844" t="str">
        <f t="shared" si="45"/>
        <v>"</v>
      </c>
      <c r="O107" s="844" t="str">
        <f t="shared" si="46"/>
        <v>"</v>
      </c>
      <c r="P107" s="843" t="str">
        <f t="shared" si="47"/>
        <v>"</v>
      </c>
    </row>
    <row r="108" spans="1:16" ht="19.5">
      <c r="A108" s="847"/>
      <c r="B108" s="845"/>
      <c r="C108" s="848"/>
      <c r="D108" s="846"/>
      <c r="E108" s="844"/>
      <c r="F108" s="845"/>
      <c r="G108" s="844"/>
      <c r="H108" s="844"/>
      <c r="I108" s="844" t="str">
        <f t="shared" si="40"/>
        <v>"</v>
      </c>
      <c r="J108" s="844" t="str">
        <f t="shared" si="41"/>
        <v>"</v>
      </c>
      <c r="K108" s="844" t="str">
        <f t="shared" si="48"/>
        <v>"</v>
      </c>
      <c r="L108" s="844"/>
      <c r="M108" s="844" t="str">
        <f t="shared" si="44"/>
        <v>"</v>
      </c>
      <c r="N108" s="844" t="str">
        <f t="shared" si="45"/>
        <v>"</v>
      </c>
      <c r="O108" s="844" t="str">
        <f t="shared" si="46"/>
        <v>"</v>
      </c>
      <c r="P108" s="843" t="str">
        <f t="shared" si="47"/>
        <v>"</v>
      </c>
    </row>
    <row r="109" spans="1:16" ht="19.5">
      <c r="A109" s="847"/>
      <c r="B109" s="845"/>
      <c r="C109" s="848"/>
      <c r="D109" s="846"/>
      <c r="E109" s="844"/>
      <c r="F109" s="845"/>
      <c r="G109" s="844"/>
      <c r="H109" s="844"/>
      <c r="I109" s="844" t="str">
        <f t="shared" si="40"/>
        <v>"</v>
      </c>
      <c r="J109" s="844" t="str">
        <f t="shared" si="41"/>
        <v>"</v>
      </c>
      <c r="K109" s="844" t="str">
        <f t="shared" si="48"/>
        <v>"</v>
      </c>
      <c r="L109" s="844"/>
      <c r="M109" s="844" t="str">
        <f t="shared" si="44"/>
        <v>"</v>
      </c>
      <c r="N109" s="844" t="str">
        <f t="shared" si="45"/>
        <v>"</v>
      </c>
      <c r="O109" s="844" t="str">
        <f t="shared" si="46"/>
        <v>"</v>
      </c>
      <c r="P109" s="843" t="str">
        <f t="shared" si="47"/>
        <v>"</v>
      </c>
    </row>
    <row r="110" spans="1:16" ht="19.5">
      <c r="A110" s="847"/>
      <c r="B110" s="845"/>
      <c r="C110" s="848"/>
      <c r="D110" s="846"/>
      <c r="E110" s="844"/>
      <c r="F110" s="845"/>
      <c r="G110" s="844"/>
      <c r="H110" s="844"/>
      <c r="I110" s="844" t="str">
        <f t="shared" si="40"/>
        <v>"</v>
      </c>
      <c r="J110" s="844" t="str">
        <f t="shared" si="41"/>
        <v>"</v>
      </c>
      <c r="K110" s="844" t="str">
        <f t="shared" si="48"/>
        <v>"</v>
      </c>
      <c r="L110" s="844"/>
      <c r="M110" s="844" t="str">
        <f t="shared" si="44"/>
        <v>"</v>
      </c>
      <c r="N110" s="844" t="str">
        <f t="shared" si="45"/>
        <v>"</v>
      </c>
      <c r="O110" s="844" t="str">
        <f t="shared" si="46"/>
        <v>"</v>
      </c>
      <c r="P110" s="843" t="str">
        <f t="shared" si="47"/>
        <v>"</v>
      </c>
    </row>
    <row r="111" spans="1:16" ht="19.5">
      <c r="A111" s="847"/>
      <c r="B111" s="845"/>
      <c r="C111" s="848"/>
      <c r="D111" s="846"/>
      <c r="E111" s="844"/>
      <c r="F111" s="845"/>
      <c r="G111" s="844"/>
      <c r="H111" s="844"/>
      <c r="I111" s="844" t="str">
        <f t="shared" si="40"/>
        <v>"</v>
      </c>
      <c r="J111" s="844" t="str">
        <f t="shared" si="41"/>
        <v>"</v>
      </c>
      <c r="K111" s="844" t="str">
        <f t="shared" si="48"/>
        <v>"</v>
      </c>
      <c r="L111" s="844"/>
      <c r="M111" s="844" t="str">
        <f t="shared" si="44"/>
        <v>"</v>
      </c>
      <c r="N111" s="844" t="str">
        <f t="shared" si="45"/>
        <v>"</v>
      </c>
      <c r="O111" s="844" t="str">
        <f t="shared" si="46"/>
        <v>"</v>
      </c>
      <c r="P111" s="843" t="str">
        <f t="shared" si="47"/>
        <v>"</v>
      </c>
    </row>
    <row r="112" spans="1:16" ht="19.5">
      <c r="A112" s="847"/>
      <c r="B112" s="845"/>
      <c r="C112" s="848"/>
      <c r="D112" s="846"/>
      <c r="E112" s="844"/>
      <c r="F112" s="845"/>
      <c r="G112" s="844"/>
      <c r="H112" s="844"/>
      <c r="I112" s="844" t="str">
        <f t="shared" si="40"/>
        <v>"</v>
      </c>
      <c r="J112" s="844" t="str">
        <f t="shared" si="41"/>
        <v>"</v>
      </c>
      <c r="K112" s="844" t="str">
        <f t="shared" si="48"/>
        <v>"</v>
      </c>
      <c r="L112" s="844"/>
      <c r="M112" s="844" t="str">
        <f t="shared" si="44"/>
        <v>"</v>
      </c>
      <c r="N112" s="844" t="str">
        <f t="shared" si="45"/>
        <v>"</v>
      </c>
      <c r="O112" s="844" t="str">
        <f t="shared" si="46"/>
        <v>"</v>
      </c>
      <c r="P112" s="843" t="str">
        <f t="shared" si="47"/>
        <v>"</v>
      </c>
    </row>
    <row r="113" spans="1:16" ht="19.5">
      <c r="A113" s="847"/>
      <c r="B113" s="845"/>
      <c r="C113" s="848"/>
      <c r="D113" s="846"/>
      <c r="E113" s="844"/>
      <c r="F113" s="845"/>
      <c r="G113" s="844"/>
      <c r="H113" s="844"/>
      <c r="I113" s="844" t="str">
        <f t="shared" si="40"/>
        <v>"</v>
      </c>
      <c r="J113" s="844" t="str">
        <f t="shared" si="41"/>
        <v>"</v>
      </c>
      <c r="K113" s="844" t="str">
        <f t="shared" si="48"/>
        <v>"</v>
      </c>
      <c r="L113" s="844"/>
      <c r="M113" s="844" t="str">
        <f t="shared" si="44"/>
        <v>"</v>
      </c>
      <c r="N113" s="844" t="str">
        <f t="shared" si="45"/>
        <v>"</v>
      </c>
      <c r="O113" s="844" t="str">
        <f t="shared" si="46"/>
        <v>"</v>
      </c>
      <c r="P113" s="843" t="str">
        <f t="shared" si="47"/>
        <v>"</v>
      </c>
    </row>
    <row r="114" spans="1:16" ht="19.5">
      <c r="A114" s="847"/>
      <c r="B114" s="845"/>
      <c r="C114" s="848"/>
      <c r="D114" s="846"/>
      <c r="E114" s="844"/>
      <c r="F114" s="845"/>
      <c r="G114" s="844"/>
      <c r="H114" s="844"/>
      <c r="I114" s="844" t="str">
        <f t="shared" si="40"/>
        <v>"</v>
      </c>
      <c r="J114" s="844" t="str">
        <f t="shared" si="41"/>
        <v>"</v>
      </c>
      <c r="K114" s="844" t="str">
        <f t="shared" si="48"/>
        <v>"</v>
      </c>
      <c r="L114" s="844"/>
      <c r="M114" s="844" t="str">
        <f t="shared" si="44"/>
        <v>"</v>
      </c>
      <c r="N114" s="844" t="str">
        <f t="shared" si="45"/>
        <v>"</v>
      </c>
      <c r="O114" s="844" t="str">
        <f t="shared" si="46"/>
        <v>"</v>
      </c>
      <c r="P114" s="843" t="str">
        <f t="shared" si="47"/>
        <v>"</v>
      </c>
    </row>
    <row r="115" spans="1:16" ht="19.5">
      <c r="A115" s="847"/>
      <c r="B115" s="845"/>
      <c r="C115" s="848"/>
      <c r="D115" s="846"/>
      <c r="E115" s="844"/>
      <c r="F115" s="845"/>
      <c r="G115" s="844"/>
      <c r="H115" s="844"/>
      <c r="I115" s="844" t="str">
        <f t="shared" si="40"/>
        <v>"</v>
      </c>
      <c r="J115" s="844" t="str">
        <f t="shared" si="41"/>
        <v>"</v>
      </c>
      <c r="K115" s="844" t="str">
        <f t="shared" si="48"/>
        <v>"</v>
      </c>
      <c r="L115" s="844"/>
      <c r="M115" s="844" t="str">
        <f t="shared" si="44"/>
        <v>"</v>
      </c>
      <c r="N115" s="844" t="str">
        <f t="shared" si="45"/>
        <v>"</v>
      </c>
      <c r="O115" s="844" t="str">
        <f t="shared" si="46"/>
        <v>"</v>
      </c>
      <c r="P115" s="843" t="str">
        <f t="shared" si="47"/>
        <v>"</v>
      </c>
    </row>
    <row r="116" spans="1:16" ht="19.5">
      <c r="A116" s="847"/>
      <c r="B116" s="845"/>
      <c r="C116" s="848"/>
      <c r="D116" s="846"/>
      <c r="E116" s="844"/>
      <c r="F116" s="845"/>
      <c r="G116" s="844"/>
      <c r="H116" s="844"/>
      <c r="I116" s="844" t="str">
        <f t="shared" si="40"/>
        <v>"</v>
      </c>
      <c r="J116" s="844" t="str">
        <f t="shared" si="41"/>
        <v>"</v>
      </c>
      <c r="K116" s="844" t="str">
        <f t="shared" si="48"/>
        <v>"</v>
      </c>
      <c r="L116" s="844"/>
      <c r="M116" s="844" t="str">
        <f t="shared" si="44"/>
        <v>"</v>
      </c>
      <c r="N116" s="844" t="str">
        <f t="shared" si="45"/>
        <v>"</v>
      </c>
      <c r="O116" s="844" t="str">
        <f t="shared" si="46"/>
        <v>"</v>
      </c>
      <c r="P116" s="843" t="str">
        <f t="shared" si="47"/>
        <v>"</v>
      </c>
    </row>
    <row r="117" spans="1:16" ht="19.5">
      <c r="A117" s="847"/>
      <c r="B117" s="845"/>
      <c r="C117" s="848"/>
      <c r="D117" s="846"/>
      <c r="E117" s="844"/>
      <c r="F117" s="845"/>
      <c r="G117" s="844"/>
      <c r="H117" s="844"/>
      <c r="I117" s="844" t="str">
        <f t="shared" si="40"/>
        <v>"</v>
      </c>
      <c r="J117" s="844" t="str">
        <f t="shared" si="41"/>
        <v>"</v>
      </c>
      <c r="K117" s="844" t="str">
        <f t="shared" si="48"/>
        <v>"</v>
      </c>
      <c r="L117" s="844"/>
      <c r="M117" s="844" t="str">
        <f t="shared" si="44"/>
        <v>"</v>
      </c>
      <c r="N117" s="844" t="str">
        <f t="shared" si="45"/>
        <v>"</v>
      </c>
      <c r="O117" s="844" t="str">
        <f t="shared" si="46"/>
        <v>"</v>
      </c>
      <c r="P117" s="843" t="str">
        <f t="shared" si="47"/>
        <v>"</v>
      </c>
    </row>
    <row r="118" spans="1:16" ht="19.5">
      <c r="A118" s="847"/>
      <c r="B118" s="845"/>
      <c r="C118" s="848"/>
      <c r="D118" s="846"/>
      <c r="E118" s="844"/>
      <c r="F118" s="845"/>
      <c r="G118" s="844"/>
      <c r="H118" s="844"/>
      <c r="I118" s="844" t="str">
        <f t="shared" si="40"/>
        <v>"</v>
      </c>
      <c r="J118" s="844" t="str">
        <f t="shared" si="41"/>
        <v>"</v>
      </c>
      <c r="K118" s="844" t="str">
        <f t="shared" si="48"/>
        <v>"</v>
      </c>
      <c r="L118" s="844"/>
      <c r="M118" s="844" t="str">
        <f t="shared" si="44"/>
        <v>"</v>
      </c>
      <c r="N118" s="844" t="str">
        <f t="shared" si="45"/>
        <v>"</v>
      </c>
      <c r="O118" s="844" t="str">
        <f t="shared" si="46"/>
        <v>"</v>
      </c>
      <c r="P118" s="843" t="str">
        <f t="shared" si="47"/>
        <v>"</v>
      </c>
    </row>
    <row r="119" spans="1:16" ht="20.25" thickBot="1">
      <c r="A119" s="847"/>
      <c r="B119" s="845"/>
      <c r="C119" s="845"/>
      <c r="D119" s="846"/>
      <c r="E119" s="844"/>
      <c r="F119" s="845"/>
      <c r="G119" s="844"/>
      <c r="H119" s="844"/>
      <c r="I119" s="844" t="str">
        <f t="shared" si="40"/>
        <v>"</v>
      </c>
      <c r="J119" s="844" t="str">
        <f t="shared" si="41"/>
        <v>"</v>
      </c>
      <c r="K119" s="844" t="str">
        <f t="shared" si="48"/>
        <v>"</v>
      </c>
      <c r="L119" s="844"/>
      <c r="M119" s="844" t="str">
        <f t="shared" si="44"/>
        <v>"</v>
      </c>
      <c r="N119" s="844" t="str">
        <f t="shared" si="45"/>
        <v>"</v>
      </c>
      <c r="O119" s="844" t="str">
        <f t="shared" si="46"/>
        <v>"</v>
      </c>
      <c r="P119" s="843" t="str">
        <f t="shared" si="47"/>
        <v>"</v>
      </c>
    </row>
    <row r="120" spans="1:16" ht="20.25" thickBot="1">
      <c r="A120" s="842"/>
      <c r="B120" s="841"/>
      <c r="C120" s="841"/>
      <c r="D120" s="840"/>
      <c r="E120" s="839"/>
      <c r="F120" s="1651" t="s">
        <v>1143</v>
      </c>
      <c r="G120" s="1652"/>
      <c r="H120" s="1653"/>
      <c r="I120" s="876">
        <f t="shared" ref="I120:P120" si="49">SUM(I92:I119)</f>
        <v>0</v>
      </c>
      <c r="J120" s="876">
        <f t="shared" si="49"/>
        <v>0</v>
      </c>
      <c r="K120" s="876">
        <f t="shared" si="49"/>
        <v>0</v>
      </c>
      <c r="L120" s="876">
        <f t="shared" si="49"/>
        <v>270.89999999999998</v>
      </c>
      <c r="M120" s="876">
        <f t="shared" si="49"/>
        <v>0</v>
      </c>
      <c r="N120" s="876">
        <f t="shared" si="49"/>
        <v>0</v>
      </c>
      <c r="O120" s="876">
        <f t="shared" si="49"/>
        <v>0</v>
      </c>
      <c r="P120" s="876">
        <f t="shared" si="49"/>
        <v>0</v>
      </c>
    </row>
    <row r="121" spans="1:16" ht="20.25" thickBot="1">
      <c r="A121" s="836"/>
      <c r="B121" s="836"/>
      <c r="C121" s="836"/>
      <c r="D121" s="838"/>
      <c r="E121" s="837"/>
      <c r="F121" s="1654" t="s">
        <v>1142</v>
      </c>
      <c r="G121" s="1654"/>
      <c r="H121" s="1654"/>
      <c r="I121" s="876">
        <v>0.222</v>
      </c>
      <c r="J121" s="876">
        <v>0.39500000000000002</v>
      </c>
      <c r="K121" s="876">
        <v>0.61699999999999999</v>
      </c>
      <c r="L121" s="876">
        <v>0.88800000000000001</v>
      </c>
      <c r="M121" s="876">
        <v>1.2090000000000001</v>
      </c>
      <c r="N121" s="876">
        <v>1.579</v>
      </c>
      <c r="O121" s="876">
        <v>2.4670000000000001</v>
      </c>
      <c r="P121" s="876">
        <v>3.552</v>
      </c>
    </row>
    <row r="122" spans="1:16" ht="20.25" thickBot="1">
      <c r="A122" s="836"/>
      <c r="B122" s="835"/>
      <c r="C122" s="834"/>
      <c r="D122" s="833"/>
      <c r="E122" s="832"/>
      <c r="F122" s="1655" t="s">
        <v>1141</v>
      </c>
      <c r="G122" s="1655"/>
      <c r="H122" s="1655"/>
      <c r="I122" s="876">
        <f t="shared" ref="I122:P122" si="50">I120*I121</f>
        <v>0</v>
      </c>
      <c r="J122" s="876">
        <f t="shared" si="50"/>
        <v>0</v>
      </c>
      <c r="K122" s="876">
        <f t="shared" si="50"/>
        <v>0</v>
      </c>
      <c r="L122" s="876">
        <f t="shared" si="50"/>
        <v>240.55919999999998</v>
      </c>
      <c r="M122" s="876">
        <f t="shared" si="50"/>
        <v>0</v>
      </c>
      <c r="N122" s="876">
        <f t="shared" si="50"/>
        <v>0</v>
      </c>
      <c r="O122" s="876">
        <f t="shared" si="50"/>
        <v>0</v>
      </c>
      <c r="P122" s="876">
        <f t="shared" si="50"/>
        <v>0</v>
      </c>
    </row>
  </sheetData>
  <mergeCells count="53">
    <mergeCell ref="I90:P90"/>
    <mergeCell ref="B92:D92"/>
    <mergeCell ref="F120:H120"/>
    <mergeCell ref="F121:H121"/>
    <mergeCell ref="F122:H122"/>
    <mergeCell ref="B90:B91"/>
    <mergeCell ref="C90:C91"/>
    <mergeCell ref="D90:D91"/>
    <mergeCell ref="E90:E91"/>
    <mergeCell ref="F90:F91"/>
    <mergeCell ref="I80:P80"/>
    <mergeCell ref="B82:D82"/>
    <mergeCell ref="F87:H87"/>
    <mergeCell ref="F88:H88"/>
    <mergeCell ref="F89:H89"/>
    <mergeCell ref="B80:B81"/>
    <mergeCell ref="C80:C81"/>
    <mergeCell ref="D80:D81"/>
    <mergeCell ref="E80:E81"/>
    <mergeCell ref="F80:F81"/>
    <mergeCell ref="A1:B1"/>
    <mergeCell ref="A3:B3"/>
    <mergeCell ref="A4:B4"/>
    <mergeCell ref="B6:B7"/>
    <mergeCell ref="C6:C7"/>
    <mergeCell ref="D6:D7"/>
    <mergeCell ref="E6:E7"/>
    <mergeCell ref="F6:F7"/>
    <mergeCell ref="I6:P6"/>
    <mergeCell ref="B8:D8"/>
    <mergeCell ref="F24:H24"/>
    <mergeCell ref="F25:H25"/>
    <mergeCell ref="F26:H26"/>
    <mergeCell ref="B27:B28"/>
    <mergeCell ref="C27:C28"/>
    <mergeCell ref="D27:D28"/>
    <mergeCell ref="E27:E28"/>
    <mergeCell ref="F27:F28"/>
    <mergeCell ref="I64:P64"/>
    <mergeCell ref="I27:P27"/>
    <mergeCell ref="B29:D29"/>
    <mergeCell ref="F56:H56"/>
    <mergeCell ref="F57:H57"/>
    <mergeCell ref="F58:H58"/>
    <mergeCell ref="B66:D66"/>
    <mergeCell ref="F74:H74"/>
    <mergeCell ref="F75:H75"/>
    <mergeCell ref="F76:H76"/>
    <mergeCell ref="B64:B65"/>
    <mergeCell ref="C64:C65"/>
    <mergeCell ref="D64:D65"/>
    <mergeCell ref="E64:E65"/>
    <mergeCell ref="F64:F65"/>
  </mergeCells>
  <printOptions horizontalCentered="1" verticalCentered="1"/>
  <pageMargins left="0" right="0" top="0" bottom="0" header="0.13" footer="0.24"/>
  <pageSetup paperSize="9" scale="68" orientation="landscape" r:id="rId1"/>
  <headerFooter>
    <oddHeader>&amp;R&amp;P of &amp;N</oddHeader>
    <oddFooter>&amp;LContractor
&amp;CConsultant&amp;RClient</oddFooter>
  </headerFooter>
  <rowBreaks count="4" manualBreakCount="4">
    <brk id="26" max="15" man="1"/>
    <brk id="62" max="15" man="1"/>
    <brk id="79" max="15" man="1"/>
    <brk id="89" max="15" man="1"/>
  </rowBreaks>
  <colBreaks count="1" manualBreakCount="1">
    <brk id="17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60"/>
  <sheetViews>
    <sheetView view="pageBreakPreview" zoomScale="85" zoomScaleSheetLayoutView="85" workbookViewId="0">
      <selection activeCell="G10" sqref="G10"/>
    </sheetView>
  </sheetViews>
  <sheetFormatPr defaultRowHeight="15"/>
  <cols>
    <col min="1" max="1" width="13.7109375" style="168" customWidth="1"/>
    <col min="2" max="2" width="9.28515625" style="168" customWidth="1"/>
    <col min="3" max="3" width="9.140625" style="168"/>
    <col min="4" max="4" width="10.42578125" style="168" customWidth="1"/>
    <col min="5" max="5" width="11" style="168" customWidth="1"/>
    <col min="6" max="9" width="10" style="168" customWidth="1"/>
    <col min="10" max="10" width="13" style="168" customWidth="1"/>
    <col min="11" max="11" width="11.7109375" style="168" customWidth="1"/>
    <col min="12" max="16384" width="9.140625" style="168"/>
  </cols>
  <sheetData>
    <row r="1" spans="1:11" s="203" customFormat="1" ht="15" customHeight="1">
      <c r="A1" s="1578" t="s">
        <v>0</v>
      </c>
      <c r="B1" s="1579"/>
      <c r="C1" s="1580" t="s">
        <v>4</v>
      </c>
      <c r="D1" s="1581"/>
      <c r="E1" s="1582"/>
      <c r="F1" s="200" t="s">
        <v>7</v>
      </c>
      <c r="G1" s="201"/>
      <c r="H1" s="202" t="s">
        <v>8</v>
      </c>
      <c r="I1" s="201"/>
      <c r="J1" s="202" t="s">
        <v>61</v>
      </c>
      <c r="K1" s="201"/>
    </row>
    <row r="2" spans="1:11" ht="15" customHeight="1">
      <c r="A2" s="459" t="s">
        <v>552</v>
      </c>
      <c r="B2" s="169"/>
      <c r="C2" s="1583"/>
      <c r="D2" s="1584"/>
      <c r="E2" s="1585"/>
      <c r="F2" s="1595">
        <v>17</v>
      </c>
      <c r="G2" s="1596"/>
      <c r="H2" s="1586"/>
      <c r="I2" s="1587"/>
      <c r="J2" s="479">
        <v>0</v>
      </c>
      <c r="K2" s="480">
        <v>1</v>
      </c>
    </row>
    <row r="3" spans="1:11">
      <c r="A3" s="170" t="s">
        <v>2</v>
      </c>
      <c r="B3" s="171"/>
      <c r="C3" s="167" t="s">
        <v>5</v>
      </c>
      <c r="D3" s="172"/>
      <c r="E3" s="166"/>
      <c r="F3" s="165" t="s">
        <v>9</v>
      </c>
      <c r="G3" s="172"/>
      <c r="H3" s="172"/>
      <c r="I3" s="172"/>
      <c r="J3" s="172"/>
      <c r="K3" s="166"/>
    </row>
    <row r="4" spans="1:11">
      <c r="A4" s="169" t="s">
        <v>490</v>
      </c>
      <c r="B4" s="173"/>
      <c r="C4" s="174"/>
      <c r="D4" s="456">
        <v>2</v>
      </c>
      <c r="E4" s="175"/>
      <c r="F4" s="1671" t="s">
        <v>887</v>
      </c>
      <c r="G4" s="1672"/>
      <c r="H4" s="1672"/>
      <c r="I4" s="1672"/>
      <c r="J4" s="177"/>
      <c r="K4" s="175"/>
    </row>
    <row r="5" spans="1:11">
      <c r="A5" s="170" t="s">
        <v>491</v>
      </c>
      <c r="B5" s="282"/>
      <c r="C5" s="165" t="s">
        <v>6</v>
      </c>
      <c r="D5" s="1588" t="s">
        <v>1159</v>
      </c>
      <c r="E5" s="1589"/>
      <c r="F5" s="165" t="s">
        <v>10</v>
      </c>
      <c r="G5" s="1588"/>
      <c r="H5" s="1588"/>
      <c r="I5" s="1588"/>
      <c r="J5" s="172"/>
      <c r="K5" s="166"/>
    </row>
    <row r="6" spans="1:11">
      <c r="A6" s="169">
        <v>14</v>
      </c>
      <c r="B6" s="173"/>
      <c r="C6" s="174"/>
      <c r="D6" s="177"/>
      <c r="E6" s="175"/>
      <c r="F6" s="178"/>
      <c r="G6" s="177"/>
      <c r="H6" s="177"/>
      <c r="I6" s="177"/>
      <c r="J6" s="177"/>
      <c r="K6" s="175"/>
    </row>
    <row r="7" spans="1:11">
      <c r="A7" s="179"/>
      <c r="B7" s="180"/>
      <c r="C7" s="180"/>
      <c r="D7" s="180"/>
      <c r="E7" s="180"/>
      <c r="F7" s="180"/>
      <c r="G7" s="180"/>
      <c r="H7" s="180"/>
      <c r="I7" s="180"/>
      <c r="J7" s="180"/>
      <c r="K7" s="181"/>
    </row>
    <row r="8" spans="1:11">
      <c r="A8" s="182" t="s">
        <v>11</v>
      </c>
      <c r="B8" s="183"/>
      <c r="C8" s="172"/>
      <c r="D8" s="172"/>
      <c r="E8" s="166"/>
      <c r="F8" s="184" t="s">
        <v>12</v>
      </c>
      <c r="G8" s="166"/>
      <c r="H8" s="184" t="s">
        <v>13</v>
      </c>
      <c r="I8" s="166"/>
      <c r="J8" s="184" t="s">
        <v>14</v>
      </c>
      <c r="K8" s="166"/>
    </row>
    <row r="9" spans="1:11">
      <c r="A9" s="197"/>
      <c r="B9" s="198"/>
      <c r="C9" s="198"/>
      <c r="D9" s="198"/>
      <c r="E9" s="181"/>
      <c r="F9" s="179"/>
      <c r="G9" s="181"/>
      <c r="H9" s="179"/>
      <c r="I9" s="180"/>
      <c r="J9" s="179"/>
      <c r="K9" s="181"/>
    </row>
    <row r="10" spans="1:11" ht="15" customHeight="1" thickBot="1">
      <c r="A10" s="1449" t="s">
        <v>888</v>
      </c>
      <c r="B10" s="1450"/>
      <c r="C10" s="1450"/>
      <c r="D10" s="1450"/>
      <c r="E10" s="1451"/>
      <c r="F10" s="179">
        <v>1</v>
      </c>
      <c r="G10" s="181"/>
      <c r="H10" s="179">
        <v>88</v>
      </c>
      <c r="I10" s="180"/>
      <c r="J10" s="187">
        <f>H10</f>
        <v>88</v>
      </c>
      <c r="K10" s="181"/>
    </row>
    <row r="11" spans="1:11" ht="24.75" customHeight="1" thickTop="1">
      <c r="A11" s="1449"/>
      <c r="B11" s="1450"/>
      <c r="C11" s="1450"/>
      <c r="D11" s="1450"/>
      <c r="E11" s="1451"/>
      <c r="F11" s="179"/>
      <c r="G11" s="181"/>
      <c r="H11" s="179"/>
      <c r="I11" s="180"/>
      <c r="J11" s="179"/>
      <c r="K11" s="181"/>
    </row>
    <row r="12" spans="1:11">
      <c r="A12" s="197"/>
      <c r="B12" s="198"/>
      <c r="C12" s="198"/>
      <c r="D12" s="198"/>
      <c r="E12" s="181"/>
      <c r="F12" s="179"/>
      <c r="G12" s="181"/>
      <c r="H12" s="179"/>
      <c r="I12" s="180"/>
      <c r="J12" s="179"/>
      <c r="K12" s="181"/>
    </row>
    <row r="13" spans="1:11" ht="15.75">
      <c r="A13" s="1407"/>
      <c r="B13" s="1408"/>
      <c r="C13" s="1408"/>
      <c r="D13" s="1408"/>
      <c r="E13" s="181"/>
      <c r="F13" s="179"/>
      <c r="G13" s="181"/>
      <c r="H13" s="179"/>
      <c r="I13" s="180"/>
      <c r="J13" s="179"/>
      <c r="K13" s="181"/>
    </row>
    <row r="14" spans="1:11">
      <c r="A14" s="197"/>
      <c r="B14" s="198"/>
      <c r="C14" s="198"/>
      <c r="D14" s="198"/>
      <c r="E14" s="181"/>
      <c r="F14" s="179"/>
      <c r="G14" s="181"/>
      <c r="H14" s="179"/>
      <c r="I14" s="180"/>
      <c r="J14" s="179"/>
      <c r="K14" s="181"/>
    </row>
    <row r="15" spans="1:11">
      <c r="A15" s="197"/>
      <c r="B15" s="198"/>
      <c r="C15" s="198"/>
      <c r="D15" s="198"/>
      <c r="E15" s="181"/>
      <c r="F15" s="179"/>
      <c r="G15" s="181"/>
      <c r="H15" s="179"/>
      <c r="I15" s="180"/>
      <c r="J15" s="179"/>
      <c r="K15" s="181"/>
    </row>
    <row r="16" spans="1:11">
      <c r="A16" s="197"/>
      <c r="B16" s="198"/>
      <c r="C16" s="198"/>
      <c r="D16" s="198"/>
      <c r="E16" s="181"/>
      <c r="F16" s="179"/>
      <c r="G16" s="181"/>
      <c r="H16" s="179"/>
      <c r="I16" s="180"/>
      <c r="J16" s="179"/>
      <c r="K16" s="181"/>
    </row>
    <row r="17" spans="1:11">
      <c r="A17" s="197"/>
      <c r="B17" s="1571"/>
      <c r="C17" s="1571"/>
      <c r="D17" s="1571"/>
      <c r="E17" s="181"/>
      <c r="F17" s="179"/>
      <c r="G17" s="181"/>
      <c r="H17" s="179"/>
      <c r="I17" s="180"/>
      <c r="J17" s="179"/>
      <c r="K17" s="181"/>
    </row>
    <row r="18" spans="1:11">
      <c r="A18" s="197"/>
      <c r="B18" s="1571"/>
      <c r="C18" s="1571"/>
      <c r="D18" s="1571"/>
      <c r="E18" s="181"/>
      <c r="F18" s="179"/>
      <c r="G18" s="181"/>
      <c r="H18" s="179"/>
      <c r="I18" s="180"/>
      <c r="J18" s="179"/>
      <c r="K18" s="181"/>
    </row>
    <row r="19" spans="1:11">
      <c r="A19" s="197"/>
      <c r="B19" s="1599"/>
      <c r="C19" s="1599"/>
      <c r="D19" s="1599"/>
      <c r="E19" s="181"/>
      <c r="F19" s="179"/>
      <c r="G19" s="181"/>
      <c r="H19" s="179"/>
      <c r="I19" s="180"/>
      <c r="J19" s="179"/>
      <c r="K19" s="181"/>
    </row>
    <row r="20" spans="1:11">
      <c r="A20" s="197"/>
      <c r="B20" s="198"/>
      <c r="C20" s="198"/>
      <c r="D20" s="198"/>
      <c r="E20" s="181"/>
      <c r="F20" s="179"/>
      <c r="G20" s="181"/>
      <c r="H20" s="179"/>
      <c r="I20" s="180"/>
      <c r="J20" s="179"/>
      <c r="K20" s="181"/>
    </row>
    <row r="21" spans="1:11">
      <c r="A21" s="197"/>
      <c r="B21" s="198"/>
      <c r="C21" s="198"/>
      <c r="D21" s="198"/>
      <c r="E21" s="181"/>
      <c r="F21" s="179"/>
      <c r="G21" s="181"/>
      <c r="H21" s="179"/>
      <c r="I21" s="180"/>
      <c r="J21" s="179"/>
      <c r="K21" s="181"/>
    </row>
    <row r="22" spans="1:11" ht="15" customHeight="1">
      <c r="A22" s="1449"/>
      <c r="B22" s="1450"/>
      <c r="C22" s="1450"/>
      <c r="D22" s="1450"/>
      <c r="E22" s="1451"/>
      <c r="F22" s="179"/>
      <c r="G22" s="181"/>
      <c r="H22" s="179"/>
      <c r="I22" s="180"/>
      <c r="J22" s="179"/>
      <c r="K22" s="181"/>
    </row>
    <row r="23" spans="1:11" ht="15" customHeight="1">
      <c r="A23" s="1449"/>
      <c r="B23" s="1450"/>
      <c r="C23" s="1450"/>
      <c r="D23" s="1450"/>
      <c r="E23" s="1451"/>
      <c r="F23" s="179"/>
      <c r="G23" s="181"/>
      <c r="H23" s="179"/>
      <c r="I23" s="180"/>
      <c r="J23" s="179"/>
      <c r="K23" s="181"/>
    </row>
    <row r="24" spans="1:11" ht="21.75" customHeight="1">
      <c r="A24" s="1449"/>
      <c r="B24" s="1450"/>
      <c r="C24" s="1450"/>
      <c r="D24" s="1450"/>
      <c r="E24" s="1451"/>
      <c r="F24" s="179"/>
      <c r="G24" s="181"/>
      <c r="H24" s="179"/>
      <c r="I24" s="180"/>
      <c r="J24" s="179"/>
      <c r="K24" s="181"/>
    </row>
    <row r="25" spans="1:11">
      <c r="A25" s="197"/>
      <c r="B25" s="198"/>
      <c r="C25" s="198"/>
      <c r="D25" s="198"/>
      <c r="E25" s="181"/>
      <c r="F25" s="179"/>
      <c r="G25" s="181"/>
      <c r="H25" s="179"/>
      <c r="I25" s="180"/>
      <c r="J25" s="179"/>
      <c r="K25" s="181"/>
    </row>
    <row r="26" spans="1:11" ht="18" customHeight="1">
      <c r="A26" s="197"/>
      <c r="B26" s="1571"/>
      <c r="C26" s="1571"/>
      <c r="D26" s="1571"/>
      <c r="E26" s="181"/>
      <c r="F26" s="179"/>
      <c r="G26" s="181"/>
      <c r="H26" s="179"/>
      <c r="I26" s="181"/>
      <c r="J26" s="185"/>
      <c r="K26" s="181"/>
    </row>
    <row r="27" spans="1:11">
      <c r="A27" s="197"/>
      <c r="B27" s="1571"/>
      <c r="C27" s="1571"/>
      <c r="D27" s="1571"/>
      <c r="E27" s="181"/>
      <c r="F27" s="179"/>
      <c r="G27" s="181"/>
      <c r="H27" s="179"/>
      <c r="I27" s="180"/>
      <c r="J27" s="179"/>
      <c r="K27" s="181"/>
    </row>
    <row r="28" spans="1:11">
      <c r="A28" s="197"/>
      <c r="B28" s="1599"/>
      <c r="C28" s="1599"/>
      <c r="D28" s="1599"/>
      <c r="E28" s="181"/>
      <c r="F28" s="179"/>
      <c r="G28" s="181"/>
      <c r="H28" s="179"/>
      <c r="I28" s="180"/>
      <c r="J28" s="185"/>
      <c r="K28" s="181"/>
    </row>
    <row r="29" spans="1:11">
      <c r="A29" s="197"/>
      <c r="B29" s="1599"/>
      <c r="C29" s="1599"/>
      <c r="D29" s="1599"/>
      <c r="E29" s="181"/>
      <c r="F29" s="179"/>
      <c r="G29" s="181"/>
      <c r="H29" s="179"/>
      <c r="I29" s="180"/>
      <c r="J29" s="179"/>
      <c r="K29" s="181"/>
    </row>
    <row r="30" spans="1:11" ht="19.5" customHeight="1">
      <c r="A30" s="1677"/>
      <c r="B30" s="1678"/>
      <c r="C30" s="1678"/>
      <c r="D30" s="1678"/>
      <c r="E30" s="1678"/>
      <c r="F30" s="211"/>
      <c r="G30" s="181"/>
      <c r="H30" s="179"/>
      <c r="I30" s="180"/>
      <c r="J30" s="179"/>
      <c r="K30" s="181"/>
    </row>
    <row r="31" spans="1:11" ht="18" customHeight="1">
      <c r="A31" s="1673"/>
      <c r="B31" s="1674"/>
      <c r="C31" s="1674"/>
      <c r="D31" s="1674"/>
      <c r="E31" s="1675"/>
      <c r="F31" s="211"/>
      <c r="G31" s="181"/>
      <c r="H31" s="179"/>
      <c r="I31" s="180"/>
      <c r="J31" s="179"/>
      <c r="K31" s="181"/>
    </row>
    <row r="32" spans="1:11" ht="19.5" customHeight="1">
      <c r="A32" s="1679"/>
      <c r="B32" s="1680"/>
      <c r="C32" s="1680"/>
      <c r="D32" s="1680"/>
      <c r="E32" s="1680"/>
      <c r="F32" s="211"/>
      <c r="G32" s="181"/>
      <c r="H32" s="179"/>
      <c r="I32" s="180"/>
      <c r="J32" s="179"/>
      <c r="K32" s="181"/>
    </row>
    <row r="33" spans="1:11">
      <c r="A33" s="197"/>
      <c r="B33" s="477"/>
      <c r="C33" s="477"/>
      <c r="D33" s="477"/>
      <c r="E33" s="180"/>
      <c r="F33" s="179"/>
      <c r="G33" s="181"/>
      <c r="H33" s="179"/>
      <c r="I33" s="180"/>
      <c r="J33" s="179"/>
      <c r="K33" s="181"/>
    </row>
    <row r="34" spans="1:11">
      <c r="A34" s="1676"/>
      <c r="B34" s="1599"/>
      <c r="C34" s="1599"/>
      <c r="D34" s="1599"/>
      <c r="E34" s="1600"/>
      <c r="F34" s="179"/>
      <c r="G34" s="181"/>
      <c r="H34" s="179"/>
      <c r="I34" s="180"/>
      <c r="J34" s="179"/>
      <c r="K34" s="181"/>
    </row>
    <row r="35" spans="1:11">
      <c r="A35" s="197"/>
      <c r="B35" s="477"/>
      <c r="C35" s="477"/>
      <c r="D35" s="477"/>
      <c r="E35" s="181"/>
      <c r="F35" s="179"/>
      <c r="G35" s="181"/>
      <c r="H35" s="179"/>
      <c r="I35" s="180"/>
      <c r="J35" s="185"/>
      <c r="K35" s="181"/>
    </row>
    <row r="36" spans="1:11">
      <c r="A36" s="1676"/>
      <c r="B36" s="1599"/>
      <c r="C36" s="1599"/>
      <c r="D36" s="1599"/>
      <c r="E36" s="1600"/>
      <c r="F36" s="179"/>
      <c r="G36" s="181"/>
      <c r="H36" s="179"/>
      <c r="I36" s="180"/>
      <c r="J36" s="179"/>
      <c r="K36" s="181"/>
    </row>
    <row r="37" spans="1:11">
      <c r="A37" s="197"/>
      <c r="B37" s="477"/>
      <c r="C37" s="477"/>
      <c r="D37" s="477"/>
      <c r="E37" s="181"/>
      <c r="F37" s="179"/>
      <c r="G37" s="181"/>
      <c r="H37" s="179"/>
      <c r="I37" s="180"/>
      <c r="J37" s="179"/>
      <c r="K37" s="181"/>
    </row>
    <row r="38" spans="1:11">
      <c r="A38" s="197"/>
      <c r="B38" s="477"/>
      <c r="C38" s="477"/>
      <c r="D38" s="477"/>
      <c r="E38" s="181"/>
      <c r="F38" s="179"/>
      <c r="G38" s="181"/>
      <c r="H38" s="179"/>
      <c r="I38" s="180"/>
      <c r="J38" s="179"/>
      <c r="K38" s="181"/>
    </row>
    <row r="39" spans="1:11">
      <c r="A39" s="197"/>
      <c r="B39" s="477"/>
      <c r="C39" s="477"/>
      <c r="D39" s="477"/>
      <c r="E39" s="181"/>
      <c r="F39" s="179"/>
      <c r="G39" s="181"/>
      <c r="H39" s="179"/>
      <c r="I39" s="180"/>
      <c r="J39" s="179"/>
      <c r="K39" s="181"/>
    </row>
    <row r="40" spans="1:11">
      <c r="A40" s="197"/>
      <c r="B40" s="477"/>
      <c r="C40" s="477"/>
      <c r="D40" s="477"/>
      <c r="E40" s="181"/>
      <c r="F40" s="179"/>
      <c r="G40" s="181"/>
      <c r="H40" s="179"/>
      <c r="I40" s="180"/>
      <c r="J40" s="179"/>
      <c r="K40" s="181"/>
    </row>
    <row r="41" spans="1:11">
      <c r="A41" s="197"/>
      <c r="B41" s="477"/>
      <c r="C41" s="477"/>
      <c r="D41" s="477"/>
      <c r="E41" s="181"/>
      <c r="F41" s="179"/>
      <c r="G41" s="181"/>
      <c r="H41" s="179"/>
      <c r="I41" s="180"/>
      <c r="J41" s="179"/>
      <c r="K41" s="181"/>
    </row>
    <row r="42" spans="1:11">
      <c r="A42" s="197"/>
      <c r="B42" s="477"/>
      <c r="C42" s="477"/>
      <c r="D42" s="477"/>
      <c r="E42" s="181"/>
      <c r="F42" s="179"/>
      <c r="G42" s="181"/>
      <c r="H42" s="179"/>
      <c r="I42" s="180"/>
      <c r="J42" s="179"/>
      <c r="K42" s="181"/>
    </row>
    <row r="43" spans="1:11">
      <c r="A43" s="197"/>
      <c r="B43" s="477"/>
      <c r="C43" s="477"/>
      <c r="D43" s="477"/>
      <c r="E43" s="181"/>
      <c r="F43" s="179"/>
      <c r="G43" s="181"/>
      <c r="H43" s="179"/>
      <c r="I43" s="180"/>
      <c r="J43" s="179"/>
      <c r="K43" s="181"/>
    </row>
    <row r="44" spans="1:11">
      <c r="A44" s="197"/>
      <c r="B44" s="477"/>
      <c r="C44" s="477"/>
      <c r="D44" s="477"/>
      <c r="E44" s="181"/>
      <c r="F44" s="179"/>
      <c r="G44" s="181"/>
      <c r="H44" s="179"/>
      <c r="I44" s="180"/>
      <c r="J44" s="179"/>
      <c r="K44" s="181"/>
    </row>
    <row r="45" spans="1:11">
      <c r="A45" s="197"/>
      <c r="B45" s="477"/>
      <c r="C45" s="477"/>
      <c r="D45" s="477"/>
      <c r="E45" s="181"/>
      <c r="F45" s="179"/>
      <c r="G45" s="181"/>
      <c r="H45" s="179"/>
      <c r="I45" s="180"/>
      <c r="J45" s="179"/>
      <c r="K45" s="181"/>
    </row>
    <row r="46" spans="1:11">
      <c r="A46" s="197"/>
      <c r="B46" s="477"/>
      <c r="C46" s="477"/>
      <c r="D46" s="477"/>
      <c r="E46" s="181"/>
      <c r="F46" s="179"/>
      <c r="G46" s="181"/>
      <c r="H46" s="179"/>
      <c r="I46" s="180"/>
      <c r="J46" s="179"/>
      <c r="K46" s="181"/>
    </row>
    <row r="47" spans="1:11">
      <c r="A47" s="197"/>
      <c r="B47" s="477"/>
      <c r="C47" s="477"/>
      <c r="D47" s="477"/>
      <c r="E47" s="181"/>
      <c r="F47" s="179"/>
      <c r="G47" s="181"/>
      <c r="H47" s="179"/>
      <c r="I47" s="180"/>
      <c r="J47" s="179"/>
      <c r="K47" s="181"/>
    </row>
    <row r="48" spans="1:11">
      <c r="A48" s="197"/>
      <c r="B48" s="477"/>
      <c r="C48" s="477"/>
      <c r="D48" s="477"/>
      <c r="E48" s="181"/>
      <c r="F48" s="179"/>
      <c r="G48" s="181"/>
      <c r="H48" s="179"/>
      <c r="I48" s="180"/>
      <c r="J48" s="179"/>
      <c r="K48" s="181"/>
    </row>
    <row r="49" spans="1:11">
      <c r="A49" s="197"/>
      <c r="B49" s="477"/>
      <c r="C49" s="477"/>
      <c r="D49" s="477"/>
      <c r="E49" s="181"/>
      <c r="F49" s="179"/>
      <c r="G49" s="181"/>
      <c r="H49" s="179"/>
      <c r="I49" s="180"/>
      <c r="J49" s="179"/>
      <c r="K49" s="181"/>
    </row>
    <row r="50" spans="1:11">
      <c r="A50" s="197"/>
      <c r="B50" s="477"/>
      <c r="C50" s="477"/>
      <c r="D50" s="477"/>
      <c r="E50" s="181"/>
      <c r="F50" s="179"/>
      <c r="G50" s="181"/>
      <c r="H50" s="179"/>
      <c r="I50" s="180"/>
      <c r="J50" s="179"/>
      <c r="K50" s="181"/>
    </row>
    <row r="51" spans="1:11">
      <c r="A51" s="1676"/>
      <c r="B51" s="1599"/>
      <c r="C51" s="1599"/>
      <c r="D51" s="1599"/>
      <c r="E51" s="1600"/>
      <c r="F51" s="179"/>
      <c r="G51" s="181"/>
      <c r="H51" s="179"/>
      <c r="I51" s="180"/>
      <c r="J51" s="179"/>
      <c r="K51" s="181"/>
    </row>
    <row r="52" spans="1:11">
      <c r="A52" s="1676"/>
      <c r="B52" s="1599"/>
      <c r="C52" s="1599"/>
      <c r="D52" s="1599"/>
      <c r="E52" s="1600"/>
      <c r="F52" s="179"/>
      <c r="G52" s="181"/>
      <c r="H52" s="179"/>
      <c r="I52" s="180"/>
      <c r="J52" s="179"/>
      <c r="K52" s="181"/>
    </row>
    <row r="53" spans="1:11">
      <c r="A53" s="197"/>
      <c r="B53" s="477"/>
      <c r="C53" s="477"/>
      <c r="D53" s="477"/>
      <c r="E53" s="181"/>
      <c r="F53" s="179"/>
      <c r="G53" s="181"/>
      <c r="H53" s="179"/>
      <c r="I53" s="180"/>
      <c r="J53" s="179"/>
      <c r="K53" s="181"/>
    </row>
    <row r="54" spans="1:11">
      <c r="A54" s="197"/>
      <c r="B54" s="477"/>
      <c r="C54" s="1599"/>
      <c r="D54" s="1599"/>
      <c r="E54" s="1600"/>
      <c r="F54" s="179"/>
      <c r="G54" s="181"/>
      <c r="H54" s="179"/>
      <c r="I54" s="180"/>
      <c r="J54" s="179"/>
      <c r="K54" s="181"/>
    </row>
    <row r="55" spans="1:11">
      <c r="A55" s="197"/>
      <c r="B55" s="477"/>
      <c r="C55" s="477"/>
      <c r="D55" s="477"/>
      <c r="E55" s="181"/>
      <c r="F55" s="179"/>
      <c r="G55" s="181"/>
      <c r="H55" s="179"/>
      <c r="I55" s="180"/>
      <c r="J55" s="179"/>
      <c r="K55" s="181"/>
    </row>
    <row r="56" spans="1:11">
      <c r="A56" s="179"/>
      <c r="B56" s="180"/>
      <c r="C56" s="180"/>
      <c r="D56" s="180"/>
      <c r="E56" s="180"/>
      <c r="F56" s="174"/>
      <c r="G56" s="180"/>
      <c r="H56" s="174"/>
      <c r="I56" s="180"/>
      <c r="J56" s="174"/>
      <c r="K56" s="181"/>
    </row>
    <row r="57" spans="1:11">
      <c r="A57" s="188"/>
      <c r="B57" s="189" t="s">
        <v>10</v>
      </c>
      <c r="C57" s="189" t="s">
        <v>18</v>
      </c>
      <c r="D57" s="190" t="s">
        <v>19</v>
      </c>
      <c r="E57" s="191"/>
      <c r="F57" s="191"/>
      <c r="G57" s="191"/>
      <c r="H57" s="191"/>
      <c r="I57" s="191"/>
      <c r="J57" s="191"/>
      <c r="K57" s="192"/>
    </row>
    <row r="58" spans="1:11" ht="25.5" customHeight="1">
      <c r="A58" s="193" t="s">
        <v>15</v>
      </c>
      <c r="B58" s="188"/>
      <c r="C58" s="188"/>
      <c r="D58" s="194"/>
      <c r="E58" s="191"/>
      <c r="F58" s="191"/>
      <c r="G58" s="191"/>
      <c r="H58" s="191"/>
      <c r="I58" s="191"/>
      <c r="J58" s="191"/>
      <c r="K58" s="192"/>
    </row>
    <row r="59" spans="1:11" ht="25.5" customHeight="1">
      <c r="A59" s="193" t="s">
        <v>16</v>
      </c>
      <c r="B59" s="188"/>
      <c r="C59" s="188"/>
      <c r="D59" s="194"/>
      <c r="E59" s="191"/>
      <c r="F59" s="191"/>
      <c r="G59" s="191"/>
      <c r="H59" s="191"/>
      <c r="I59" s="191"/>
      <c r="J59" s="191"/>
      <c r="K59" s="192"/>
    </row>
    <row r="60" spans="1:11" ht="26.25" customHeight="1">
      <c r="A60" s="193" t="s">
        <v>553</v>
      </c>
      <c r="B60" s="188"/>
      <c r="C60" s="188"/>
      <c r="D60" s="194"/>
      <c r="E60" s="191"/>
      <c r="F60" s="191"/>
      <c r="G60" s="191"/>
      <c r="H60" s="191"/>
      <c r="I60" s="191"/>
      <c r="J60" s="191"/>
      <c r="K60" s="192"/>
    </row>
  </sheetData>
  <mergeCells count="25">
    <mergeCell ref="A31:E31"/>
    <mergeCell ref="A51:E51"/>
    <mergeCell ref="A52:E52"/>
    <mergeCell ref="C54:E54"/>
    <mergeCell ref="A30:E30"/>
    <mergeCell ref="A32:E32"/>
    <mergeCell ref="A34:E34"/>
    <mergeCell ref="A36:E36"/>
    <mergeCell ref="B26:D26"/>
    <mergeCell ref="B27:D27"/>
    <mergeCell ref="B29:D29"/>
    <mergeCell ref="B28:D28"/>
    <mergeCell ref="A10:E11"/>
    <mergeCell ref="A13:D13"/>
    <mergeCell ref="B17:D17"/>
    <mergeCell ref="B18:D18"/>
    <mergeCell ref="B19:D19"/>
    <mergeCell ref="A22:E24"/>
    <mergeCell ref="G5:I5"/>
    <mergeCell ref="A1:B1"/>
    <mergeCell ref="C1:E2"/>
    <mergeCell ref="F2:G2"/>
    <mergeCell ref="H2:I2"/>
    <mergeCell ref="F4:I4"/>
    <mergeCell ref="D5:E5"/>
  </mergeCells>
  <printOptions horizontalCentered="1" verticalCentered="1"/>
  <pageMargins left="0.22" right="0" top="0" bottom="0" header="0.3" footer="0.3"/>
  <pageSetup paperSize="9" scale="83" fitToHeight="6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53"/>
  <sheetViews>
    <sheetView view="pageBreakPreview" zoomScale="91" zoomScaleSheetLayoutView="91" workbookViewId="0">
      <selection activeCell="H15" sqref="H15"/>
    </sheetView>
  </sheetViews>
  <sheetFormatPr defaultRowHeight="15"/>
  <cols>
    <col min="1" max="1" width="9.140625" style="228"/>
    <col min="2" max="2" width="10" style="228" customWidth="1"/>
    <col min="3" max="4" width="9.140625" style="228"/>
    <col min="5" max="5" width="15.42578125" style="228" customWidth="1"/>
    <col min="6" max="9" width="9.140625" style="228"/>
    <col min="10" max="10" width="10.5703125" style="228" customWidth="1"/>
    <col min="11" max="11" width="7.42578125" style="228" customWidth="1"/>
    <col min="12" max="16384" width="9.140625" style="228"/>
  </cols>
  <sheetData>
    <row r="1" spans="1:14" ht="15" customHeight="1">
      <c r="A1" s="1578" t="s">
        <v>0</v>
      </c>
      <c r="B1" s="1579"/>
      <c r="C1" s="1580" t="s">
        <v>4</v>
      </c>
      <c r="D1" s="1581"/>
      <c r="E1" s="1582"/>
      <c r="F1" s="200" t="s">
        <v>7</v>
      </c>
      <c r="G1" s="201"/>
      <c r="H1" s="202" t="s">
        <v>8</v>
      </c>
      <c r="I1" s="201"/>
      <c r="J1" s="202" t="s">
        <v>61</v>
      </c>
      <c r="K1" s="201"/>
    </row>
    <row r="2" spans="1:14" ht="15" customHeight="1">
      <c r="A2" s="459" t="s">
        <v>552</v>
      </c>
      <c r="B2" s="169"/>
      <c r="C2" s="1583"/>
      <c r="D2" s="1584"/>
      <c r="E2" s="1585"/>
      <c r="F2" s="1595">
        <v>17</v>
      </c>
      <c r="G2" s="1596"/>
      <c r="H2" s="1586"/>
      <c r="I2" s="1587"/>
      <c r="J2" s="1586">
        <v>1</v>
      </c>
      <c r="K2" s="1587"/>
      <c r="L2" s="826"/>
      <c r="M2" s="826"/>
      <c r="N2" s="826"/>
    </row>
    <row r="3" spans="1:14">
      <c r="A3" s="170" t="s">
        <v>2</v>
      </c>
      <c r="B3" s="171"/>
      <c r="C3" s="167" t="s">
        <v>5</v>
      </c>
      <c r="D3" s="172"/>
      <c r="E3" s="166"/>
      <c r="F3" s="165" t="s">
        <v>9</v>
      </c>
      <c r="G3" s="172"/>
      <c r="H3" s="172"/>
      <c r="I3" s="172"/>
      <c r="J3" s="172"/>
      <c r="K3" s="166"/>
      <c r="L3" s="826"/>
      <c r="M3" s="826"/>
      <c r="N3" s="826"/>
    </row>
    <row r="4" spans="1:14">
      <c r="A4" s="169" t="s">
        <v>490</v>
      </c>
      <c r="B4" s="173"/>
      <c r="C4" s="174"/>
      <c r="D4" s="456">
        <v>2</v>
      </c>
      <c r="E4" s="175"/>
      <c r="F4" s="1671" t="s">
        <v>883</v>
      </c>
      <c r="G4" s="1672"/>
      <c r="H4" s="1672"/>
      <c r="I4" s="177"/>
      <c r="J4" s="177"/>
      <c r="K4" s="175"/>
      <c r="L4" s="826"/>
      <c r="M4" s="826"/>
      <c r="N4" s="826"/>
    </row>
    <row r="5" spans="1:14">
      <c r="A5" s="170" t="s">
        <v>491</v>
      </c>
      <c r="B5" s="282"/>
      <c r="C5" s="165" t="s">
        <v>6</v>
      </c>
      <c r="D5" s="1588" t="s">
        <v>1159</v>
      </c>
      <c r="E5" s="1589"/>
      <c r="F5" s="165" t="s">
        <v>10</v>
      </c>
      <c r="G5" s="172"/>
      <c r="H5" s="172"/>
      <c r="I5" s="172"/>
      <c r="J5" s="172"/>
      <c r="K5" s="166"/>
      <c r="L5" s="826"/>
      <c r="M5" s="826"/>
      <c r="N5" s="826"/>
    </row>
    <row r="6" spans="1:14">
      <c r="A6" s="169" t="s">
        <v>885</v>
      </c>
      <c r="B6" s="173"/>
      <c r="C6" s="174"/>
      <c r="D6" s="177"/>
      <c r="E6" s="175"/>
      <c r="F6" s="178"/>
      <c r="G6" s="177"/>
      <c r="H6" s="177"/>
      <c r="I6" s="177"/>
      <c r="J6" s="177"/>
      <c r="K6" s="175"/>
      <c r="L6" s="826"/>
      <c r="M6" s="826"/>
      <c r="N6" s="826"/>
    </row>
    <row r="7" spans="1:14">
      <c r="A7" s="179"/>
      <c r="B7" s="180"/>
      <c r="C7" s="180"/>
      <c r="D7" s="180"/>
      <c r="E7" s="180"/>
      <c r="F7" s="180"/>
      <c r="G7" s="180"/>
      <c r="H7" s="180"/>
      <c r="I7" s="180"/>
      <c r="J7" s="180"/>
      <c r="K7" s="181"/>
      <c r="L7" s="826"/>
      <c r="M7" s="826"/>
      <c r="N7" s="826"/>
    </row>
    <row r="8" spans="1:14">
      <c r="A8" s="182" t="s">
        <v>11</v>
      </c>
      <c r="B8" s="183"/>
      <c r="C8" s="172"/>
      <c r="D8" s="172"/>
      <c r="E8" s="166"/>
      <c r="F8" s="184" t="s">
        <v>12</v>
      </c>
      <c r="G8" s="166"/>
      <c r="H8" s="184" t="s">
        <v>13</v>
      </c>
      <c r="I8" s="166"/>
      <c r="J8" s="184" t="s">
        <v>14</v>
      </c>
      <c r="K8" s="166"/>
      <c r="L8" s="826"/>
      <c r="M8" s="826"/>
      <c r="N8" s="826"/>
    </row>
    <row r="9" spans="1:14">
      <c r="A9" s="197">
        <v>1.3</v>
      </c>
      <c r="B9" s="283" t="s">
        <v>884</v>
      </c>
      <c r="C9" s="229"/>
      <c r="D9" s="229"/>
      <c r="E9" s="233"/>
      <c r="F9" s="232"/>
      <c r="G9" s="233"/>
      <c r="H9" s="232"/>
      <c r="I9" s="233"/>
      <c r="J9" s="232"/>
      <c r="K9" s="233"/>
      <c r="L9" s="826"/>
      <c r="M9" s="826"/>
      <c r="N9" s="826"/>
    </row>
    <row r="10" spans="1:14" ht="15.75">
      <c r="A10" s="516"/>
      <c r="B10" s="510"/>
      <c r="C10" s="510"/>
      <c r="D10" s="510"/>
      <c r="E10" s="233"/>
      <c r="F10" s="232"/>
      <c r="G10" s="233"/>
      <c r="H10" s="232"/>
      <c r="I10" s="233"/>
      <c r="J10" s="232"/>
      <c r="K10" s="233"/>
      <c r="L10" s="826"/>
      <c r="M10" s="826"/>
      <c r="N10" s="826"/>
    </row>
    <row r="11" spans="1:14" ht="15.75">
      <c r="A11" s="1681"/>
      <c r="B11" s="1682"/>
      <c r="C11" s="1682"/>
      <c r="D11" s="1682"/>
      <c r="E11" s="1683"/>
      <c r="F11" s="179"/>
      <c r="G11" s="181"/>
      <c r="H11" s="179"/>
      <c r="I11" s="181"/>
      <c r="J11" s="179"/>
      <c r="K11" s="181"/>
      <c r="L11" s="826"/>
      <c r="M11" s="826"/>
      <c r="N11" s="826"/>
    </row>
    <row r="12" spans="1:14">
      <c r="A12" s="581"/>
      <c r="B12" s="582"/>
      <c r="C12" s="582"/>
      <c r="D12" s="582"/>
      <c r="E12" s="583"/>
      <c r="F12" s="179"/>
      <c r="G12" s="181"/>
      <c r="H12" s="179"/>
      <c r="I12" s="181"/>
      <c r="J12" s="180"/>
      <c r="K12" s="181"/>
      <c r="L12" s="826"/>
      <c r="M12" s="826"/>
      <c r="N12" s="826"/>
    </row>
    <row r="13" spans="1:14">
      <c r="A13" s="885" t="s">
        <v>885</v>
      </c>
      <c r="B13" s="283" t="s">
        <v>884</v>
      </c>
      <c r="C13" s="283"/>
      <c r="D13" s="283"/>
      <c r="E13" s="245"/>
      <c r="F13" s="185"/>
      <c r="G13" s="890"/>
      <c r="H13" s="179"/>
      <c r="I13" s="181"/>
      <c r="J13" s="179"/>
      <c r="K13" s="181"/>
      <c r="L13" s="826"/>
      <c r="M13" s="826"/>
      <c r="N13" s="826"/>
    </row>
    <row r="14" spans="1:14">
      <c r="A14" s="885"/>
      <c r="B14" s="882" t="s">
        <v>886</v>
      </c>
      <c r="C14" s="882"/>
      <c r="D14" s="882"/>
      <c r="E14" s="883"/>
      <c r="F14" s="185">
        <v>1</v>
      </c>
      <c r="G14" s="890"/>
      <c r="H14" s="185">
        <v>72</v>
      </c>
      <c r="I14" s="181"/>
      <c r="J14" s="180"/>
      <c r="K14" s="181"/>
      <c r="L14" s="826"/>
      <c r="M14" s="826"/>
      <c r="N14" s="826"/>
    </row>
    <row r="15" spans="1:14">
      <c r="A15" s="234"/>
      <c r="B15" s="283"/>
      <c r="C15" s="283"/>
      <c r="D15" s="283"/>
      <c r="E15" s="245"/>
      <c r="F15" s="185"/>
      <c r="G15" s="890"/>
      <c r="H15" s="185">
        <v>0.75</v>
      </c>
      <c r="I15" s="181"/>
      <c r="J15" s="179"/>
      <c r="K15" s="181"/>
      <c r="L15" s="826"/>
      <c r="M15" s="826"/>
      <c r="N15" s="826"/>
    </row>
    <row r="16" spans="1:14" ht="19.5" customHeight="1" thickBot="1">
      <c r="A16" s="234"/>
      <c r="B16" s="283"/>
      <c r="C16" s="1684" t="s">
        <v>1157</v>
      </c>
      <c r="D16" s="1684"/>
      <c r="E16" s="1685"/>
      <c r="F16" s="185"/>
      <c r="G16" s="890"/>
      <c r="H16" s="896">
        <v>1.05</v>
      </c>
      <c r="I16" s="175"/>
      <c r="J16" s="187">
        <f>F14*H14*H15*H16</f>
        <v>56.7</v>
      </c>
      <c r="K16" s="181"/>
      <c r="L16" s="826"/>
      <c r="M16" s="826"/>
      <c r="N16" s="826"/>
    </row>
    <row r="17" spans="1:14" ht="15.75" thickTop="1">
      <c r="A17" s="581"/>
      <c r="B17" s="582"/>
      <c r="C17" s="582"/>
      <c r="D17" s="582"/>
      <c r="E17" s="583"/>
      <c r="F17" s="179"/>
      <c r="G17" s="181"/>
      <c r="H17" s="179"/>
      <c r="I17" s="181"/>
      <c r="J17" s="180"/>
      <c r="K17" s="181"/>
      <c r="L17" s="826"/>
      <c r="M17" s="826"/>
      <c r="N17" s="826"/>
    </row>
    <row r="18" spans="1:14">
      <c r="A18" s="179"/>
      <c r="B18" s="582"/>
      <c r="C18" s="582"/>
      <c r="D18" s="582"/>
      <c r="E18" s="583"/>
      <c r="F18" s="179"/>
      <c r="G18" s="181"/>
      <c r="H18" s="179"/>
      <c r="I18" s="181"/>
      <c r="J18" s="179"/>
      <c r="K18" s="181"/>
      <c r="L18" s="826"/>
      <c r="M18" s="826"/>
      <c r="N18" s="826"/>
    </row>
    <row r="19" spans="1:14">
      <c r="A19" s="642"/>
      <c r="B19" s="641"/>
      <c r="C19" s="582"/>
      <c r="D19" s="582"/>
      <c r="E19" s="583"/>
      <c r="F19" s="179"/>
      <c r="G19" s="181"/>
      <c r="H19" s="179"/>
      <c r="I19" s="181"/>
      <c r="J19" s="179"/>
      <c r="K19" s="181"/>
      <c r="L19" s="826"/>
      <c r="M19" s="826"/>
      <c r="N19" s="826"/>
    </row>
    <row r="20" spans="1:14">
      <c r="A20" s="581"/>
      <c r="B20" s="582"/>
      <c r="C20" s="582"/>
      <c r="D20" s="582"/>
      <c r="E20" s="583"/>
      <c r="F20" s="179"/>
      <c r="G20" s="181"/>
      <c r="H20" s="179"/>
      <c r="I20" s="181"/>
      <c r="J20" s="180"/>
      <c r="K20" s="181"/>
      <c r="L20" s="826"/>
      <c r="M20" s="826"/>
      <c r="N20" s="826"/>
    </row>
    <row r="21" spans="1:14">
      <c r="A21" s="886"/>
      <c r="B21" s="878"/>
      <c r="C21" s="878"/>
      <c r="D21" s="878"/>
      <c r="E21" s="879"/>
      <c r="F21" s="179"/>
      <c r="G21" s="181"/>
      <c r="H21" s="179"/>
      <c r="I21" s="181"/>
      <c r="J21" s="180"/>
      <c r="K21" s="181"/>
      <c r="L21" s="826"/>
      <c r="M21" s="826"/>
      <c r="N21" s="826"/>
    </row>
    <row r="22" spans="1:14">
      <c r="A22" s="886"/>
      <c r="B22" s="878"/>
      <c r="C22" s="878"/>
      <c r="D22" s="878"/>
      <c r="E22" s="879"/>
      <c r="F22" s="179"/>
      <c r="G22" s="181"/>
      <c r="H22" s="179"/>
      <c r="I22" s="181"/>
      <c r="J22" s="180"/>
      <c r="K22" s="181"/>
      <c r="L22" s="826"/>
      <c r="M22" s="826"/>
      <c r="N22" s="826"/>
    </row>
    <row r="23" spans="1:14">
      <c r="A23" s="886"/>
      <c r="B23" s="878"/>
      <c r="C23" s="878"/>
      <c r="D23" s="878"/>
      <c r="E23" s="879"/>
      <c r="F23" s="179"/>
      <c r="G23" s="181"/>
      <c r="H23" s="179"/>
      <c r="I23" s="181"/>
      <c r="J23" s="180"/>
      <c r="K23" s="181"/>
      <c r="L23" s="826"/>
      <c r="M23" s="826"/>
      <c r="N23" s="826"/>
    </row>
    <row r="24" spans="1:14">
      <c r="A24" s="886"/>
      <c r="B24" s="878"/>
      <c r="C24" s="878"/>
      <c r="D24" s="878"/>
      <c r="E24" s="879"/>
      <c r="F24" s="179"/>
      <c r="G24" s="181"/>
      <c r="H24" s="179"/>
      <c r="I24" s="181"/>
      <c r="J24" s="180"/>
      <c r="K24" s="181"/>
      <c r="L24" s="826"/>
      <c r="M24" s="826"/>
      <c r="N24" s="826"/>
    </row>
    <row r="25" spans="1:14">
      <c r="A25" s="886"/>
      <c r="B25" s="878"/>
      <c r="C25" s="878"/>
      <c r="D25" s="878"/>
      <c r="E25" s="879"/>
      <c r="F25" s="179"/>
      <c r="G25" s="181"/>
      <c r="H25" s="179"/>
      <c r="I25" s="181"/>
      <c r="J25" s="180"/>
      <c r="K25" s="181"/>
      <c r="L25" s="826"/>
      <c r="M25" s="826"/>
      <c r="N25" s="826"/>
    </row>
    <row r="26" spans="1:14">
      <c r="A26" s="886"/>
      <c r="B26" s="878"/>
      <c r="C26" s="878"/>
      <c r="D26" s="878"/>
      <c r="E26" s="879"/>
      <c r="F26" s="179"/>
      <c r="G26" s="181"/>
      <c r="H26" s="179"/>
      <c r="I26" s="181"/>
      <c r="J26" s="180"/>
      <c r="K26" s="181"/>
      <c r="L26" s="826"/>
      <c r="M26" s="826"/>
      <c r="N26" s="826"/>
    </row>
    <row r="27" spans="1:14">
      <c r="A27" s="886"/>
      <c r="B27" s="878"/>
      <c r="C27" s="878"/>
      <c r="D27" s="878"/>
      <c r="E27" s="879"/>
      <c r="F27" s="179"/>
      <c r="G27" s="181"/>
      <c r="H27" s="179"/>
      <c r="I27" s="181"/>
      <c r="J27" s="180"/>
      <c r="K27" s="181"/>
      <c r="L27" s="826"/>
      <c r="M27" s="826"/>
      <c r="N27" s="826"/>
    </row>
    <row r="28" spans="1:14">
      <c r="A28" s="886"/>
      <c r="B28" s="878"/>
      <c r="C28" s="878"/>
      <c r="D28" s="878"/>
      <c r="E28" s="879"/>
      <c r="F28" s="179"/>
      <c r="G28" s="181"/>
      <c r="H28" s="179"/>
      <c r="I28" s="181"/>
      <c r="J28" s="180"/>
      <c r="K28" s="181"/>
      <c r="L28" s="826"/>
      <c r="M28" s="826"/>
      <c r="N28" s="826"/>
    </row>
    <row r="29" spans="1:14">
      <c r="A29" s="886"/>
      <c r="B29" s="878"/>
      <c r="C29" s="878"/>
      <c r="D29" s="878"/>
      <c r="E29" s="879"/>
      <c r="F29" s="179"/>
      <c r="G29" s="181"/>
      <c r="H29" s="179"/>
      <c r="I29" s="181"/>
      <c r="J29" s="180"/>
      <c r="K29" s="181"/>
      <c r="L29" s="826"/>
      <c r="M29" s="826"/>
      <c r="N29" s="826"/>
    </row>
    <row r="30" spans="1:14">
      <c r="A30" s="886"/>
      <c r="B30" s="878"/>
      <c r="C30" s="878"/>
      <c r="D30" s="878"/>
      <c r="E30" s="879"/>
      <c r="F30" s="179"/>
      <c r="G30" s="181"/>
      <c r="H30" s="179"/>
      <c r="I30" s="181"/>
      <c r="J30" s="180"/>
      <c r="K30" s="181"/>
      <c r="L30" s="826"/>
      <c r="M30" s="826"/>
      <c r="N30" s="826"/>
    </row>
    <row r="31" spans="1:14">
      <c r="A31" s="886"/>
      <c r="B31" s="878"/>
      <c r="C31" s="878"/>
      <c r="D31" s="878"/>
      <c r="E31" s="879"/>
      <c r="F31" s="179"/>
      <c r="G31" s="181"/>
      <c r="H31" s="179"/>
      <c r="I31" s="181"/>
      <c r="J31" s="180"/>
      <c r="K31" s="181"/>
      <c r="L31" s="826"/>
      <c r="M31" s="826"/>
      <c r="N31" s="826"/>
    </row>
    <row r="32" spans="1:14">
      <c r="A32" s="886"/>
      <c r="B32" s="878"/>
      <c r="C32" s="878"/>
      <c r="D32" s="878"/>
      <c r="E32" s="879"/>
      <c r="F32" s="179"/>
      <c r="G32" s="181"/>
      <c r="H32" s="179"/>
      <c r="I32" s="181"/>
      <c r="J32" s="180"/>
      <c r="K32" s="181"/>
      <c r="L32" s="826"/>
      <c r="M32" s="826"/>
      <c r="N32" s="826"/>
    </row>
    <row r="33" spans="1:14">
      <c r="A33" s="179"/>
      <c r="B33" s="582"/>
      <c r="C33" s="582"/>
      <c r="D33" s="582"/>
      <c r="E33" s="583"/>
      <c r="F33" s="179"/>
      <c r="G33" s="181"/>
      <c r="H33" s="179"/>
      <c r="I33" s="181"/>
      <c r="J33" s="179"/>
      <c r="K33" s="233"/>
      <c r="L33" s="826"/>
      <c r="M33" s="826"/>
      <c r="N33" s="826"/>
    </row>
    <row r="34" spans="1:14">
      <c r="A34" s="581"/>
      <c r="B34" s="582"/>
      <c r="C34" s="582"/>
      <c r="D34" s="582"/>
      <c r="E34" s="583"/>
      <c r="F34" s="179"/>
      <c r="G34" s="181"/>
      <c r="H34" s="179"/>
      <c r="I34" s="181"/>
      <c r="J34" s="180"/>
      <c r="K34" s="233"/>
      <c r="L34" s="826"/>
      <c r="M34" s="826"/>
      <c r="N34" s="826"/>
    </row>
    <row r="35" spans="1:14">
      <c r="A35" s="581"/>
      <c r="B35" s="582"/>
      <c r="C35" s="582"/>
      <c r="D35" s="582"/>
      <c r="E35" s="583"/>
      <c r="F35" s="179"/>
      <c r="G35" s="181"/>
      <c r="H35" s="179"/>
      <c r="I35" s="181"/>
      <c r="J35" s="179"/>
      <c r="K35" s="233"/>
      <c r="L35" s="826"/>
      <c r="M35" s="826"/>
      <c r="N35" s="826"/>
    </row>
    <row r="36" spans="1:14">
      <c r="A36" s="581"/>
      <c r="B36" s="582"/>
      <c r="C36" s="582"/>
      <c r="D36" s="582"/>
      <c r="E36" s="583"/>
      <c r="F36" s="179"/>
      <c r="G36" s="181"/>
      <c r="H36" s="179"/>
      <c r="I36" s="181"/>
      <c r="J36" s="180"/>
      <c r="K36" s="233"/>
      <c r="L36" s="826"/>
      <c r="M36" s="826"/>
      <c r="N36" s="826"/>
    </row>
    <row r="37" spans="1:14">
      <c r="A37" s="232"/>
      <c r="B37" s="229"/>
      <c r="C37" s="229"/>
      <c r="D37" s="229"/>
      <c r="E37" s="233"/>
      <c r="F37" s="179"/>
      <c r="G37" s="181"/>
      <c r="H37" s="179"/>
      <c r="I37" s="181"/>
      <c r="J37" s="179"/>
      <c r="K37" s="233"/>
      <c r="L37" s="826"/>
      <c r="M37" s="826"/>
      <c r="N37" s="826"/>
    </row>
    <row r="38" spans="1:14">
      <c r="A38" s="581"/>
      <c r="B38" s="582"/>
      <c r="C38" s="582"/>
      <c r="D38" s="582"/>
      <c r="E38" s="583"/>
      <c r="F38" s="179"/>
      <c r="G38" s="181"/>
      <c r="H38" s="179"/>
      <c r="I38" s="181"/>
      <c r="J38" s="180"/>
      <c r="K38" s="233"/>
      <c r="L38" s="826"/>
      <c r="M38" s="826"/>
      <c r="N38" s="826"/>
    </row>
    <row r="39" spans="1:14">
      <c r="A39" s="232"/>
      <c r="B39" s="229"/>
      <c r="C39" s="229"/>
      <c r="D39" s="229"/>
      <c r="E39" s="233"/>
      <c r="F39" s="179"/>
      <c r="G39" s="181"/>
      <c r="H39" s="179"/>
      <c r="I39" s="181"/>
      <c r="J39" s="179"/>
      <c r="K39" s="233"/>
      <c r="L39" s="826"/>
      <c r="M39" s="826"/>
      <c r="N39" s="826"/>
    </row>
    <row r="40" spans="1:14">
      <c r="A40" s="581"/>
      <c r="B40" s="582"/>
      <c r="C40" s="582"/>
      <c r="D40" s="582"/>
      <c r="E40" s="583"/>
      <c r="F40" s="179"/>
      <c r="G40" s="181"/>
      <c r="H40" s="179"/>
      <c r="I40" s="181"/>
      <c r="J40" s="180"/>
      <c r="K40" s="233"/>
      <c r="L40" s="826"/>
      <c r="M40" s="826"/>
      <c r="N40" s="826"/>
    </row>
    <row r="41" spans="1:14" ht="15.75">
      <c r="A41" s="516"/>
      <c r="B41" s="510"/>
      <c r="C41" s="510"/>
      <c r="D41" s="510"/>
      <c r="E41" s="233"/>
      <c r="F41" s="179"/>
      <c r="G41" s="181"/>
      <c r="H41" s="179"/>
      <c r="I41" s="181"/>
      <c r="J41" s="179"/>
      <c r="K41" s="233"/>
      <c r="L41" s="826"/>
      <c r="M41" s="826"/>
      <c r="N41" s="826"/>
    </row>
    <row r="42" spans="1:14">
      <c r="A42" s="581"/>
      <c r="B42" s="582"/>
      <c r="C42" s="582"/>
      <c r="D42" s="582"/>
      <c r="E42" s="583"/>
      <c r="F42" s="179"/>
      <c r="G42" s="181"/>
      <c r="H42" s="179"/>
      <c r="I42" s="181"/>
      <c r="J42" s="179"/>
      <c r="K42" s="233"/>
      <c r="L42" s="826"/>
      <c r="M42" s="826"/>
      <c r="N42" s="826"/>
    </row>
    <row r="43" spans="1:14" ht="19.5" customHeight="1">
      <c r="A43" s="581"/>
      <c r="B43" s="582"/>
      <c r="C43" s="582"/>
      <c r="D43" s="582"/>
      <c r="E43" s="583"/>
      <c r="F43" s="179"/>
      <c r="G43" s="181"/>
      <c r="H43" s="179"/>
      <c r="I43" s="181"/>
      <c r="J43" s="179"/>
      <c r="K43" s="233"/>
      <c r="L43" s="826"/>
      <c r="M43" s="826"/>
      <c r="N43" s="826"/>
    </row>
    <row r="44" spans="1:14">
      <c r="A44" s="232"/>
      <c r="B44" s="229"/>
      <c r="C44" s="229"/>
      <c r="D44" s="229"/>
      <c r="E44" s="233"/>
      <c r="F44" s="179"/>
      <c r="G44" s="181"/>
      <c r="H44" s="179"/>
      <c r="I44" s="181"/>
      <c r="J44" s="179"/>
      <c r="K44" s="233"/>
      <c r="L44" s="826"/>
      <c r="M44" s="826"/>
      <c r="N44" s="826"/>
    </row>
    <row r="45" spans="1:14">
      <c r="A45" s="581"/>
      <c r="B45" s="582"/>
      <c r="C45" s="582"/>
      <c r="D45" s="582"/>
      <c r="E45" s="583"/>
      <c r="F45" s="179"/>
      <c r="G45" s="181"/>
      <c r="H45" s="179"/>
      <c r="I45" s="181"/>
      <c r="J45" s="179"/>
      <c r="K45" s="233"/>
      <c r="L45" s="826"/>
      <c r="M45" s="826"/>
      <c r="N45" s="826"/>
    </row>
    <row r="46" spans="1:14">
      <c r="A46" s="232"/>
      <c r="B46" s="229"/>
      <c r="C46" s="229"/>
      <c r="D46" s="229"/>
      <c r="E46" s="233"/>
      <c r="F46" s="179"/>
      <c r="G46" s="181"/>
      <c r="H46" s="179"/>
      <c r="I46" s="181"/>
      <c r="J46" s="179"/>
      <c r="K46" s="233"/>
      <c r="L46" s="826"/>
      <c r="M46" s="826"/>
      <c r="N46" s="826"/>
    </row>
    <row r="47" spans="1:14">
      <c r="A47" s="232"/>
      <c r="B47" s="229"/>
      <c r="C47" s="229"/>
      <c r="D47" s="229"/>
      <c r="E47" s="233"/>
      <c r="F47" s="179"/>
      <c r="G47" s="181"/>
      <c r="H47" s="179"/>
      <c r="I47" s="181"/>
      <c r="J47" s="179"/>
      <c r="K47" s="233"/>
      <c r="L47" s="826"/>
      <c r="M47" s="826"/>
      <c r="N47" s="826"/>
    </row>
    <row r="48" spans="1:14">
      <c r="A48" s="581"/>
      <c r="B48" s="1431"/>
      <c r="C48" s="1431"/>
      <c r="D48" s="1431"/>
      <c r="E48" s="1432"/>
      <c r="F48" s="179"/>
      <c r="G48" s="181"/>
      <c r="H48" s="179"/>
      <c r="I48" s="181"/>
      <c r="J48" s="180"/>
      <c r="K48" s="233"/>
      <c r="L48" s="826"/>
      <c r="M48" s="826"/>
      <c r="N48" s="826"/>
    </row>
    <row r="49" spans="1:14" ht="15.75">
      <c r="A49" s="248"/>
      <c r="B49" s="538"/>
      <c r="C49" s="538"/>
      <c r="D49" s="539"/>
      <c r="E49" s="233"/>
      <c r="F49" s="179"/>
      <c r="G49" s="181"/>
      <c r="H49" s="174"/>
      <c r="I49" s="175"/>
      <c r="J49" s="174"/>
      <c r="K49" s="233"/>
      <c r="L49" s="826"/>
      <c r="M49" s="826"/>
      <c r="N49" s="826"/>
    </row>
    <row r="50" spans="1:14">
      <c r="A50" s="238"/>
      <c r="B50" s="239" t="s">
        <v>10</v>
      </c>
      <c r="C50" s="239" t="s">
        <v>18</v>
      </c>
      <c r="D50" s="240" t="s">
        <v>19</v>
      </c>
      <c r="E50" s="241"/>
      <c r="F50" s="241"/>
      <c r="G50" s="241"/>
      <c r="H50" s="241"/>
      <c r="I50" s="241"/>
      <c r="J50" s="231"/>
      <c r="K50" s="242"/>
      <c r="L50" s="826"/>
      <c r="M50" s="826"/>
      <c r="N50" s="826"/>
    </row>
    <row r="51" spans="1:14">
      <c r="A51" s="243" t="s">
        <v>15</v>
      </c>
      <c r="B51" s="238"/>
      <c r="C51" s="238"/>
      <c r="D51" s="244"/>
      <c r="E51" s="241"/>
      <c r="F51" s="241"/>
      <c r="G51" s="241"/>
      <c r="H51" s="241"/>
      <c r="I51" s="241"/>
      <c r="J51" s="241"/>
      <c r="K51" s="242"/>
      <c r="L51" s="826"/>
      <c r="M51" s="826"/>
      <c r="N51" s="826"/>
    </row>
    <row r="52" spans="1:14">
      <c r="A52" s="243" t="s">
        <v>16</v>
      </c>
      <c r="B52" s="238"/>
      <c r="C52" s="238"/>
      <c r="D52" s="244"/>
      <c r="E52" s="241"/>
      <c r="F52" s="241"/>
      <c r="G52" s="241"/>
      <c r="H52" s="241"/>
      <c r="I52" s="241"/>
      <c r="J52" s="241"/>
      <c r="K52" s="242"/>
      <c r="L52" s="826"/>
      <c r="M52" s="826"/>
      <c r="N52" s="826"/>
    </row>
    <row r="53" spans="1:14">
      <c r="A53" s="243" t="s">
        <v>553</v>
      </c>
      <c r="B53" s="238"/>
      <c r="C53" s="238"/>
      <c r="D53" s="244"/>
      <c r="E53" s="241"/>
      <c r="F53" s="241"/>
      <c r="G53" s="241"/>
      <c r="H53" s="241"/>
      <c r="I53" s="241"/>
      <c r="J53" s="241"/>
      <c r="K53" s="242"/>
    </row>
  </sheetData>
  <mergeCells count="10">
    <mergeCell ref="A1:B1"/>
    <mergeCell ref="C1:E2"/>
    <mergeCell ref="F2:G2"/>
    <mergeCell ref="H2:I2"/>
    <mergeCell ref="J2:K2"/>
    <mergeCell ref="F4:H4"/>
    <mergeCell ref="B48:E48"/>
    <mergeCell ref="A11:E11"/>
    <mergeCell ref="C16:E16"/>
    <mergeCell ref="D5:E5"/>
  </mergeCells>
  <printOptions horizontalCentered="1" verticalCentered="1"/>
  <pageMargins left="0" right="0" top="0" bottom="0" header="0.3" footer="0.3"/>
  <pageSetup paperSize="9" scale="90" orientation="portrait" r:id="rId1"/>
  <colBreaks count="1" manualBreakCount="1">
    <brk id="11" max="57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62"/>
  <sheetViews>
    <sheetView view="pageBreakPreview" zoomScale="75" zoomScaleSheetLayoutView="75" workbookViewId="0">
      <selection activeCell="G15" sqref="G15"/>
    </sheetView>
  </sheetViews>
  <sheetFormatPr defaultRowHeight="15"/>
  <cols>
    <col min="3" max="3" width="14.5703125" customWidth="1"/>
    <col min="10" max="10" width="11.85546875" customWidth="1"/>
    <col min="11" max="11" width="10.28515625" customWidth="1"/>
  </cols>
  <sheetData>
    <row r="1" spans="1:11">
      <c r="A1" s="1578" t="s">
        <v>0</v>
      </c>
      <c r="B1" s="1579"/>
      <c r="C1" s="1580" t="s">
        <v>4</v>
      </c>
      <c r="D1" s="1581"/>
      <c r="E1" s="1582"/>
      <c r="F1" s="200" t="s">
        <v>7</v>
      </c>
      <c r="G1" s="201"/>
      <c r="H1" s="202" t="s">
        <v>8</v>
      </c>
      <c r="I1" s="201"/>
      <c r="J1" s="202" t="s">
        <v>61</v>
      </c>
      <c r="K1" s="891"/>
    </row>
    <row r="2" spans="1:11">
      <c r="A2" s="459" t="s">
        <v>552</v>
      </c>
      <c r="B2" s="169"/>
      <c r="C2" s="1583"/>
      <c r="D2" s="1584"/>
      <c r="E2" s="1585"/>
      <c r="F2" s="1595">
        <v>17</v>
      </c>
      <c r="G2" s="1596"/>
      <c r="H2" s="1586"/>
      <c r="I2" s="1587"/>
      <c r="J2" s="1586">
        <v>1</v>
      </c>
      <c r="K2" s="1587"/>
    </row>
    <row r="3" spans="1:11">
      <c r="A3" s="170" t="s">
        <v>2</v>
      </c>
      <c r="B3" s="171"/>
      <c r="C3" s="167" t="s">
        <v>5</v>
      </c>
      <c r="D3" s="172"/>
      <c r="E3" s="166"/>
      <c r="F3" s="165" t="s">
        <v>9</v>
      </c>
      <c r="G3" s="172"/>
      <c r="H3" s="172"/>
      <c r="I3" s="172"/>
      <c r="J3" s="172"/>
      <c r="K3" s="166"/>
    </row>
    <row r="4" spans="1:11">
      <c r="A4" s="169" t="s">
        <v>490</v>
      </c>
      <c r="B4" s="173"/>
      <c r="C4" s="174"/>
      <c r="D4" s="456">
        <v>2</v>
      </c>
      <c r="E4" s="175"/>
      <c r="F4" s="176" t="s">
        <v>1133</v>
      </c>
      <c r="G4" s="643"/>
      <c r="H4" s="643"/>
      <c r="I4" s="177"/>
      <c r="J4" s="177"/>
      <c r="K4" s="175"/>
    </row>
    <row r="5" spans="1:11">
      <c r="A5" s="170" t="s">
        <v>491</v>
      </c>
      <c r="B5" s="282"/>
      <c r="C5" s="165" t="s">
        <v>6</v>
      </c>
      <c r="D5" s="1588" t="s">
        <v>1159</v>
      </c>
      <c r="E5" s="1589"/>
      <c r="F5" s="165" t="s">
        <v>10</v>
      </c>
      <c r="G5" s="172"/>
      <c r="H5" s="172"/>
      <c r="I5" s="172"/>
      <c r="J5" s="172"/>
      <c r="K5" s="166"/>
    </row>
    <row r="6" spans="1:11">
      <c r="A6" s="169"/>
      <c r="B6" s="173"/>
      <c r="C6" s="174"/>
      <c r="D6" s="177"/>
      <c r="E6" s="175"/>
      <c r="F6" s="178"/>
      <c r="G6" s="177"/>
      <c r="H6" s="177"/>
      <c r="I6" s="177"/>
      <c r="J6" s="177"/>
      <c r="K6" s="175"/>
    </row>
    <row r="7" spans="1:11">
      <c r="A7" s="179"/>
      <c r="B7" s="180"/>
      <c r="C7" s="180"/>
      <c r="D7" s="180"/>
      <c r="E7" s="180"/>
      <c r="F7" s="180"/>
      <c r="G7" s="180"/>
      <c r="H7" s="180"/>
      <c r="I7" s="180"/>
      <c r="J7" s="180"/>
      <c r="K7" s="181"/>
    </row>
    <row r="8" spans="1:11">
      <c r="A8" s="182" t="s">
        <v>11</v>
      </c>
      <c r="B8" s="183"/>
      <c r="C8" s="172"/>
      <c r="D8" s="172"/>
      <c r="E8" s="166"/>
      <c r="F8" s="184" t="s">
        <v>12</v>
      </c>
      <c r="G8" s="166"/>
      <c r="H8" s="184" t="s">
        <v>13</v>
      </c>
      <c r="I8" s="166"/>
      <c r="J8" s="184" t="s">
        <v>14</v>
      </c>
      <c r="K8" s="166"/>
    </row>
    <row r="9" spans="1:11">
      <c r="A9" s="197"/>
      <c r="B9" s="229"/>
      <c r="C9" s="229"/>
      <c r="D9" s="229"/>
      <c r="E9" s="233"/>
      <c r="F9" s="232"/>
      <c r="G9" s="233"/>
      <c r="H9" s="232"/>
      <c r="I9" s="233"/>
      <c r="J9" s="232"/>
      <c r="K9" s="233"/>
    </row>
    <row r="10" spans="1:11" ht="15.75">
      <c r="A10" s="248"/>
      <c r="B10" s="1477" t="s">
        <v>816</v>
      </c>
      <c r="C10" s="1477"/>
      <c r="D10" s="539"/>
      <c r="E10" s="233"/>
      <c r="F10" s="232"/>
      <c r="G10" s="233"/>
      <c r="H10" s="232"/>
      <c r="I10" s="233"/>
      <c r="J10" s="232"/>
      <c r="K10" s="233"/>
    </row>
    <row r="11" spans="1:11" ht="16.5" thickBot="1">
      <c r="A11" s="1407" t="s">
        <v>1164</v>
      </c>
      <c r="B11" s="1408"/>
      <c r="C11" s="1408"/>
      <c r="D11" s="1408"/>
      <c r="E11" s="1409"/>
      <c r="F11" s="179">
        <v>1</v>
      </c>
      <c r="G11" s="181"/>
      <c r="H11" s="179">
        <v>46</v>
      </c>
      <c r="I11" s="181"/>
      <c r="J11" s="199">
        <f>F11*H11</f>
        <v>46</v>
      </c>
      <c r="K11" s="181"/>
    </row>
    <row r="12" spans="1:11" ht="15.75" thickTop="1">
      <c r="A12" s="874"/>
      <c r="B12" s="1431"/>
      <c r="C12" s="1431"/>
      <c r="D12" s="1431"/>
      <c r="E12" s="1432"/>
      <c r="F12" s="179"/>
      <c r="G12" s="181"/>
      <c r="H12" s="179"/>
      <c r="I12" s="181"/>
      <c r="J12" s="180"/>
      <c r="K12" s="181"/>
    </row>
    <row r="13" spans="1:11">
      <c r="A13" s="214"/>
      <c r="B13" s="186"/>
      <c r="C13" s="180"/>
      <c r="D13" s="180"/>
      <c r="E13" s="181"/>
      <c r="F13" s="179"/>
      <c r="G13" s="181"/>
      <c r="H13" s="179"/>
      <c r="I13" s="181"/>
      <c r="J13" s="180"/>
      <c r="K13" s="181"/>
    </row>
    <row r="14" spans="1:11">
      <c r="A14" s="214"/>
      <c r="B14" s="180"/>
      <c r="C14" s="180"/>
      <c r="D14" s="180"/>
      <c r="E14" s="181"/>
      <c r="F14" s="179"/>
      <c r="G14" s="180"/>
      <c r="H14" s="179"/>
      <c r="I14" s="180"/>
      <c r="J14" s="179"/>
      <c r="K14" s="181"/>
    </row>
    <row r="15" spans="1:11">
      <c r="A15" s="1686"/>
      <c r="B15" s="1687"/>
      <c r="C15" s="180"/>
      <c r="D15" s="180"/>
      <c r="E15" s="181"/>
      <c r="F15" s="179"/>
      <c r="G15" s="180"/>
      <c r="H15" s="179"/>
      <c r="I15" s="180"/>
      <c r="J15" s="179"/>
      <c r="K15" s="181"/>
    </row>
    <row r="16" spans="1:11">
      <c r="A16" s="874"/>
      <c r="B16" s="1431"/>
      <c r="C16" s="1431"/>
      <c r="D16" s="1431"/>
      <c r="E16" s="1432"/>
      <c r="F16" s="179"/>
      <c r="G16" s="180"/>
      <c r="H16" s="179"/>
      <c r="I16" s="180"/>
      <c r="J16" s="179"/>
      <c r="K16" s="181"/>
    </row>
    <row r="17" spans="1:11">
      <c r="A17" s="214"/>
      <c r="B17" s="186"/>
      <c r="C17" s="180"/>
      <c r="D17" s="180"/>
      <c r="E17" s="181"/>
      <c r="F17" s="179"/>
      <c r="G17" s="180"/>
      <c r="H17" s="179"/>
      <c r="I17" s="180"/>
      <c r="J17" s="179"/>
      <c r="K17" s="181"/>
    </row>
    <row r="18" spans="1:11">
      <c r="A18" s="214"/>
      <c r="B18" s="180"/>
      <c r="C18" s="180"/>
      <c r="D18" s="180"/>
      <c r="E18" s="181"/>
      <c r="F18" s="179"/>
      <c r="G18" s="180"/>
      <c r="H18" s="179"/>
      <c r="I18" s="180"/>
      <c r="J18" s="179"/>
      <c r="K18" s="181"/>
    </row>
    <row r="19" spans="1:11">
      <c r="A19" s="232"/>
      <c r="B19" s="229"/>
      <c r="C19" s="229"/>
      <c r="D19" s="229"/>
      <c r="E19" s="233"/>
      <c r="F19" s="179"/>
      <c r="G19" s="180"/>
      <c r="H19" s="179"/>
      <c r="I19" s="180"/>
      <c r="J19" s="179"/>
      <c r="K19" s="181"/>
    </row>
    <row r="20" spans="1:11">
      <c r="A20" s="874"/>
      <c r="B20" s="1431"/>
      <c r="C20" s="1431"/>
      <c r="D20" s="1431"/>
      <c r="E20" s="1432"/>
      <c r="F20" s="179"/>
      <c r="G20" s="180"/>
      <c r="H20" s="179"/>
      <c r="I20" s="180"/>
      <c r="J20" s="179"/>
      <c r="K20" s="181"/>
    </row>
    <row r="21" spans="1:11">
      <c r="A21" s="214"/>
      <c r="B21" s="186"/>
      <c r="C21" s="180"/>
      <c r="D21" s="180"/>
      <c r="E21" s="181"/>
      <c r="F21" s="179"/>
      <c r="G21" s="180"/>
      <c r="H21" s="179"/>
      <c r="I21" s="180"/>
      <c r="J21" s="179"/>
      <c r="K21" s="181"/>
    </row>
    <row r="22" spans="1:11">
      <c r="A22" s="214"/>
      <c r="B22" s="180"/>
      <c r="C22" s="180"/>
      <c r="D22" s="180"/>
      <c r="E22" s="181"/>
      <c r="F22" s="179"/>
      <c r="G22" s="180"/>
      <c r="H22" s="179"/>
      <c r="I22" s="180"/>
      <c r="J22" s="179"/>
      <c r="K22" s="181"/>
    </row>
    <row r="23" spans="1:11">
      <c r="A23" s="179"/>
      <c r="B23" s="671"/>
      <c r="C23" s="671"/>
      <c r="D23" s="671"/>
      <c r="E23" s="671"/>
      <c r="F23" s="179"/>
      <c r="G23" s="180"/>
      <c r="H23" s="179"/>
      <c r="I23" s="180"/>
      <c r="J23" s="179"/>
      <c r="K23" s="181"/>
    </row>
    <row r="24" spans="1:11">
      <c r="A24" s="179"/>
      <c r="B24" s="671"/>
      <c r="C24" s="671"/>
      <c r="D24" s="671"/>
      <c r="E24" s="671"/>
      <c r="F24" s="179"/>
      <c r="G24" s="180"/>
      <c r="H24" s="179"/>
      <c r="I24" s="180"/>
      <c r="J24" s="179"/>
      <c r="K24" s="181"/>
    </row>
    <row r="25" spans="1:11" ht="18.75">
      <c r="A25" s="874"/>
      <c r="B25" s="1688"/>
      <c r="C25" s="1688"/>
      <c r="D25" s="1688"/>
      <c r="E25" s="1689"/>
      <c r="F25" s="179"/>
      <c r="G25" s="180"/>
      <c r="H25" s="179"/>
      <c r="I25" s="180"/>
      <c r="J25" s="185"/>
      <c r="K25" s="181"/>
    </row>
    <row r="26" spans="1:11">
      <c r="A26" s="214"/>
      <c r="B26" s="671"/>
      <c r="C26" s="671"/>
      <c r="D26" s="671"/>
      <c r="E26" s="671"/>
      <c r="F26" s="179"/>
      <c r="G26" s="180"/>
      <c r="H26" s="179"/>
      <c r="I26" s="180"/>
      <c r="J26" s="179"/>
      <c r="K26" s="181"/>
    </row>
    <row r="27" spans="1:11">
      <c r="A27" s="874"/>
      <c r="B27" s="1431"/>
      <c r="C27" s="1431"/>
      <c r="D27" s="1431"/>
      <c r="E27" s="1432"/>
      <c r="F27" s="179"/>
      <c r="G27" s="180"/>
      <c r="H27" s="179"/>
      <c r="I27" s="180"/>
      <c r="J27" s="185"/>
      <c r="K27" s="181"/>
    </row>
    <row r="28" spans="1:11">
      <c r="A28" s="214"/>
      <c r="B28" s="671"/>
      <c r="C28" s="671"/>
      <c r="D28" s="671"/>
      <c r="E28" s="671"/>
      <c r="F28" s="179"/>
      <c r="G28" s="180"/>
      <c r="H28" s="179"/>
      <c r="I28" s="180"/>
      <c r="J28" s="179"/>
      <c r="K28" s="181"/>
    </row>
    <row r="29" spans="1:11">
      <c r="A29" s="214"/>
      <c r="B29" s="671"/>
      <c r="C29" s="671"/>
      <c r="D29" s="671"/>
      <c r="E29" s="671"/>
      <c r="F29" s="179"/>
      <c r="G29" s="181"/>
      <c r="H29" s="179"/>
      <c r="I29" s="181"/>
      <c r="J29" s="179"/>
      <c r="K29" s="181"/>
    </row>
    <row r="30" spans="1:11" ht="15.75">
      <c r="A30" s="1681"/>
      <c r="B30" s="1682"/>
      <c r="C30" s="1682"/>
      <c r="D30" s="1682"/>
      <c r="E30" s="1683"/>
      <c r="F30" s="179"/>
      <c r="G30" s="181"/>
      <c r="H30" s="179"/>
      <c r="I30" s="181"/>
      <c r="J30" s="179"/>
      <c r="K30" s="181"/>
    </row>
    <row r="31" spans="1:11">
      <c r="A31" s="874"/>
      <c r="B31" s="1431"/>
      <c r="C31" s="1431"/>
      <c r="D31" s="1431"/>
      <c r="E31" s="1432"/>
      <c r="F31" s="179"/>
      <c r="G31" s="181"/>
      <c r="H31" s="179"/>
      <c r="I31" s="181"/>
      <c r="J31" s="180"/>
      <c r="K31" s="181"/>
    </row>
    <row r="32" spans="1:11">
      <c r="A32" s="179"/>
      <c r="B32" s="1690"/>
      <c r="C32" s="1690"/>
      <c r="D32" s="1690"/>
      <c r="E32" s="1691"/>
      <c r="F32" s="179"/>
      <c r="G32" s="181"/>
      <c r="H32" s="179"/>
      <c r="I32" s="181"/>
      <c r="J32" s="179"/>
      <c r="K32" s="181"/>
    </row>
    <row r="33" spans="1:11">
      <c r="A33" s="179"/>
      <c r="B33" s="180"/>
      <c r="C33" s="180"/>
      <c r="D33" s="180"/>
      <c r="E33" s="181"/>
      <c r="F33" s="179"/>
      <c r="G33" s="181"/>
      <c r="H33" s="179"/>
      <c r="I33" s="181"/>
      <c r="J33" s="180"/>
      <c r="K33" s="181"/>
    </row>
    <row r="34" spans="1:11">
      <c r="A34" s="874"/>
      <c r="B34" s="1431"/>
      <c r="C34" s="1431"/>
      <c r="D34" s="1431"/>
      <c r="E34" s="1432"/>
      <c r="F34" s="179"/>
      <c r="G34" s="181"/>
      <c r="H34" s="179"/>
      <c r="I34" s="181"/>
      <c r="J34" s="180"/>
      <c r="K34" s="181"/>
    </row>
    <row r="35" spans="1:11">
      <c r="A35" s="214"/>
      <c r="B35" s="186"/>
      <c r="C35" s="180"/>
      <c r="D35" s="180"/>
      <c r="E35" s="181"/>
      <c r="F35" s="179"/>
      <c r="G35" s="181"/>
      <c r="H35" s="179"/>
      <c r="I35" s="181"/>
      <c r="J35" s="180"/>
      <c r="K35" s="181"/>
    </row>
    <row r="36" spans="1:11">
      <c r="A36" s="214"/>
      <c r="B36" s="180"/>
      <c r="C36" s="180"/>
      <c r="D36" s="180"/>
      <c r="E36" s="181"/>
      <c r="F36" s="179"/>
      <c r="G36" s="181"/>
      <c r="H36" s="179"/>
      <c r="I36" s="181"/>
      <c r="J36" s="179"/>
      <c r="K36" s="181"/>
    </row>
    <row r="37" spans="1:11">
      <c r="A37" s="1686"/>
      <c r="B37" s="1687"/>
      <c r="C37" s="180"/>
      <c r="D37" s="180"/>
      <c r="E37" s="181"/>
      <c r="F37" s="179"/>
      <c r="G37" s="181"/>
      <c r="H37" s="179"/>
      <c r="I37" s="181"/>
      <c r="J37" s="179"/>
      <c r="K37" s="181"/>
    </row>
    <row r="38" spans="1:11">
      <c r="A38" s="874"/>
      <c r="B38" s="1431"/>
      <c r="C38" s="1431"/>
      <c r="D38" s="1431"/>
      <c r="E38" s="1432"/>
      <c r="F38" s="179"/>
      <c r="G38" s="181"/>
      <c r="H38" s="179"/>
      <c r="I38" s="181"/>
      <c r="J38" s="180"/>
      <c r="K38" s="181"/>
    </row>
    <row r="39" spans="1:11">
      <c r="A39" s="214"/>
      <c r="B39" s="186"/>
      <c r="C39" s="180"/>
      <c r="D39" s="180"/>
      <c r="E39" s="181"/>
      <c r="F39" s="179"/>
      <c r="G39" s="181"/>
      <c r="H39" s="179"/>
      <c r="I39" s="181"/>
      <c r="J39" s="180"/>
      <c r="K39" s="233"/>
    </row>
    <row r="40" spans="1:11">
      <c r="A40" s="214"/>
      <c r="B40" s="180"/>
      <c r="C40" s="180"/>
      <c r="D40" s="180"/>
      <c r="E40" s="181"/>
      <c r="F40" s="179"/>
      <c r="G40" s="181"/>
      <c r="H40" s="179"/>
      <c r="I40" s="181"/>
      <c r="J40" s="179"/>
      <c r="K40" s="181"/>
    </row>
    <row r="41" spans="1:11">
      <c r="A41" s="874"/>
      <c r="B41" s="1431"/>
      <c r="C41" s="1431"/>
      <c r="D41" s="1431"/>
      <c r="E41" s="1432"/>
      <c r="F41" s="179"/>
      <c r="G41" s="181"/>
      <c r="H41" s="179"/>
      <c r="I41" s="181"/>
      <c r="J41" s="185"/>
      <c r="K41" s="181"/>
    </row>
    <row r="42" spans="1:11">
      <c r="A42" s="874"/>
      <c r="B42" s="1431"/>
      <c r="C42" s="1431"/>
      <c r="D42" s="1431"/>
      <c r="E42" s="1432"/>
      <c r="F42" s="179"/>
      <c r="G42" s="181"/>
      <c r="H42" s="179"/>
      <c r="I42" s="181"/>
      <c r="J42" s="179"/>
      <c r="K42" s="181"/>
    </row>
    <row r="43" spans="1:11">
      <c r="A43" s="874"/>
      <c r="B43" s="869"/>
      <c r="C43" s="873"/>
      <c r="D43" s="869"/>
      <c r="E43" s="870"/>
      <c r="F43" s="179"/>
      <c r="G43" s="181"/>
      <c r="H43" s="179"/>
      <c r="I43" s="181"/>
      <c r="J43" s="180"/>
      <c r="K43" s="181"/>
    </row>
    <row r="44" spans="1:11" ht="15.75">
      <c r="A44" s="179"/>
      <c r="B44" s="825"/>
      <c r="C44" s="129"/>
      <c r="D44" s="130"/>
      <c r="E44" s="181"/>
      <c r="F44" s="179"/>
      <c r="G44" s="181"/>
      <c r="H44" s="179"/>
      <c r="I44" s="181"/>
      <c r="J44" s="185"/>
      <c r="K44" s="181"/>
    </row>
    <row r="45" spans="1:11">
      <c r="A45" s="179"/>
      <c r="B45" s="180"/>
      <c r="C45" s="180"/>
      <c r="D45" s="180"/>
      <c r="E45" s="181"/>
      <c r="F45" s="179"/>
      <c r="G45" s="181"/>
      <c r="H45" s="179"/>
      <c r="I45" s="181"/>
      <c r="J45" s="180"/>
      <c r="K45" s="181"/>
    </row>
    <row r="46" spans="1:11">
      <c r="A46" s="874"/>
      <c r="B46" s="1431"/>
      <c r="C46" s="1431"/>
      <c r="D46" s="1431"/>
      <c r="E46" s="1432"/>
      <c r="F46" s="179"/>
      <c r="G46" s="181"/>
      <c r="H46" s="179"/>
      <c r="I46" s="181"/>
      <c r="J46" s="179"/>
      <c r="K46" s="181"/>
    </row>
    <row r="47" spans="1:11">
      <c r="A47" s="214"/>
      <c r="B47" s="180"/>
      <c r="C47" s="180"/>
      <c r="D47" s="180"/>
      <c r="E47" s="181"/>
      <c r="F47" s="179"/>
      <c r="G47" s="181"/>
      <c r="H47" s="179"/>
      <c r="I47" s="181"/>
      <c r="J47" s="180"/>
      <c r="K47" s="181"/>
    </row>
    <row r="48" spans="1:11">
      <c r="A48" s="214"/>
      <c r="B48" s="180"/>
      <c r="C48" s="180"/>
      <c r="D48" s="180"/>
      <c r="E48" s="181"/>
      <c r="F48" s="179"/>
      <c r="G48" s="181"/>
      <c r="H48" s="179"/>
      <c r="I48" s="181"/>
      <c r="J48" s="179"/>
      <c r="K48" s="181"/>
    </row>
    <row r="49" spans="1:11">
      <c r="A49" s="874"/>
      <c r="B49" s="1692"/>
      <c r="C49" s="1692"/>
      <c r="D49" s="1692"/>
      <c r="E49" s="1693"/>
      <c r="F49" s="179"/>
      <c r="G49" s="181"/>
      <c r="H49" s="179"/>
      <c r="I49" s="181"/>
      <c r="J49" s="185"/>
      <c r="K49" s="181"/>
    </row>
    <row r="50" spans="1:11">
      <c r="A50" s="179"/>
      <c r="B50" s="1431"/>
      <c r="C50" s="1431"/>
      <c r="D50" s="1431"/>
      <c r="E50" s="1432"/>
      <c r="F50" s="179"/>
      <c r="G50" s="181"/>
      <c r="H50" s="179"/>
      <c r="I50" s="181"/>
      <c r="J50" s="180"/>
      <c r="K50" s="181"/>
    </row>
    <row r="51" spans="1:11">
      <c r="A51" s="179"/>
      <c r="B51" s="869"/>
      <c r="C51" s="873"/>
      <c r="D51" s="869"/>
      <c r="E51" s="870"/>
      <c r="F51" s="179"/>
      <c r="G51" s="181"/>
      <c r="H51" s="179"/>
      <c r="I51" s="181"/>
      <c r="J51" s="180"/>
      <c r="K51" s="181"/>
    </row>
    <row r="52" spans="1:11">
      <c r="A52" s="179"/>
      <c r="B52" s="869"/>
      <c r="C52" s="869"/>
      <c r="D52" s="869"/>
      <c r="E52" s="870"/>
      <c r="F52" s="179"/>
      <c r="G52" s="181"/>
      <c r="H52" s="179"/>
      <c r="I52" s="181"/>
      <c r="J52" s="180"/>
      <c r="K52" s="181"/>
    </row>
    <row r="53" spans="1:11">
      <c r="A53" s="179"/>
      <c r="B53" s="869"/>
      <c r="C53" s="873"/>
      <c r="D53" s="869"/>
      <c r="E53" s="870"/>
      <c r="F53" s="179"/>
      <c r="G53" s="181"/>
      <c r="H53" s="179"/>
      <c r="I53" s="181"/>
      <c r="J53" s="180"/>
      <c r="K53" s="181"/>
    </row>
    <row r="54" spans="1:11">
      <c r="A54" s="179"/>
      <c r="B54" s="869"/>
      <c r="C54" s="869"/>
      <c r="D54" s="869"/>
      <c r="E54" s="870"/>
      <c r="F54" s="179"/>
      <c r="G54" s="181"/>
      <c r="H54" s="179"/>
      <c r="I54" s="181"/>
      <c r="J54" s="180"/>
      <c r="K54" s="181"/>
    </row>
    <row r="55" spans="1:11">
      <c r="A55" s="179"/>
      <c r="B55" s="587"/>
      <c r="C55" s="541"/>
      <c r="D55" s="587"/>
      <c r="E55" s="638"/>
      <c r="F55" s="179"/>
      <c r="G55" s="181"/>
      <c r="H55" s="179"/>
      <c r="I55" s="181"/>
      <c r="J55" s="179"/>
      <c r="K55" s="181"/>
    </row>
    <row r="56" spans="1:11">
      <c r="A56" s="179"/>
      <c r="B56" s="587"/>
      <c r="C56" s="541"/>
      <c r="D56" s="587"/>
      <c r="E56" s="638"/>
      <c r="F56" s="179"/>
      <c r="G56" s="181"/>
      <c r="H56" s="179"/>
      <c r="I56" s="181"/>
      <c r="J56" s="179"/>
      <c r="K56" s="181"/>
    </row>
    <row r="57" spans="1:11" ht="15.75" thickBot="1">
      <c r="A57" s="232"/>
      <c r="B57" s="283"/>
      <c r="C57" s="283"/>
      <c r="D57" s="229"/>
      <c r="E57" s="233"/>
      <c r="F57" s="232"/>
      <c r="G57" s="233"/>
      <c r="H57" s="232"/>
      <c r="I57" s="233"/>
      <c r="J57" s="234"/>
      <c r="K57" s="245"/>
    </row>
    <row r="58" spans="1:11" ht="15.75" thickTop="1">
      <c r="A58" s="235"/>
      <c r="B58" s="236"/>
      <c r="C58" s="236"/>
      <c r="D58" s="236"/>
      <c r="E58" s="236"/>
      <c r="F58" s="236"/>
      <c r="G58" s="236"/>
      <c r="H58" s="236"/>
      <c r="I58" s="236"/>
      <c r="J58" s="236"/>
      <c r="K58" s="237"/>
    </row>
    <row r="59" spans="1:11">
      <c r="A59" s="238"/>
      <c r="B59" s="239" t="s">
        <v>10</v>
      </c>
      <c r="C59" s="239" t="s">
        <v>18</v>
      </c>
      <c r="D59" s="240" t="s">
        <v>19</v>
      </c>
      <c r="E59" s="241"/>
      <c r="F59" s="241"/>
      <c r="G59" s="241"/>
      <c r="H59" s="241"/>
      <c r="I59" s="241"/>
      <c r="J59" s="241"/>
      <c r="K59" s="242"/>
    </row>
    <row r="60" spans="1:11">
      <c r="A60" s="243" t="s">
        <v>15</v>
      </c>
      <c r="B60" s="238"/>
      <c r="C60" s="238"/>
      <c r="D60" s="244"/>
      <c r="E60" s="241"/>
      <c r="F60" s="241"/>
      <c r="G60" s="241"/>
      <c r="H60" s="241"/>
      <c r="I60" s="241"/>
      <c r="J60" s="241"/>
      <c r="K60" s="242"/>
    </row>
    <row r="61" spans="1:11">
      <c r="A61" s="243" t="s">
        <v>16</v>
      </c>
      <c r="B61" s="238"/>
      <c r="C61" s="238"/>
      <c r="D61" s="244"/>
      <c r="E61" s="241"/>
      <c r="F61" s="241"/>
      <c r="G61" s="241"/>
      <c r="H61" s="241"/>
      <c r="I61" s="241"/>
      <c r="J61" s="241"/>
      <c r="K61" s="242"/>
    </row>
    <row r="62" spans="1:11">
      <c r="A62" s="243" t="s">
        <v>553</v>
      </c>
      <c r="B62" s="238"/>
      <c r="C62" s="238"/>
      <c r="D62" s="244"/>
      <c r="E62" s="241"/>
      <c r="F62" s="241"/>
      <c r="G62" s="241"/>
      <c r="H62" s="241"/>
      <c r="I62" s="241"/>
      <c r="J62" s="241"/>
      <c r="K62" s="242"/>
    </row>
  </sheetData>
  <mergeCells count="25">
    <mergeCell ref="B50:E50"/>
    <mergeCell ref="B27:E27"/>
    <mergeCell ref="B38:E38"/>
    <mergeCell ref="B41:E41"/>
    <mergeCell ref="B42:E42"/>
    <mergeCell ref="B46:E46"/>
    <mergeCell ref="B49:E49"/>
    <mergeCell ref="A37:B37"/>
    <mergeCell ref="B25:E25"/>
    <mergeCell ref="A30:E30"/>
    <mergeCell ref="B31:E31"/>
    <mergeCell ref="B32:E32"/>
    <mergeCell ref="B34:E34"/>
    <mergeCell ref="J2:K2"/>
    <mergeCell ref="B20:E20"/>
    <mergeCell ref="A1:B1"/>
    <mergeCell ref="C1:E2"/>
    <mergeCell ref="F2:G2"/>
    <mergeCell ref="H2:I2"/>
    <mergeCell ref="B12:E12"/>
    <mergeCell ref="A15:B15"/>
    <mergeCell ref="B16:E16"/>
    <mergeCell ref="A11:E11"/>
    <mergeCell ref="B10:C10"/>
    <mergeCell ref="D5:E5"/>
  </mergeCells>
  <pageMargins left="0.7" right="0.34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N65"/>
  <sheetViews>
    <sheetView view="pageBreakPreview" topLeftCell="A42" zoomScaleNormal="70" zoomScaleSheetLayoutView="100" workbookViewId="0">
      <selection activeCell="F42" sqref="F42"/>
    </sheetView>
  </sheetViews>
  <sheetFormatPr defaultRowHeight="12.75"/>
  <cols>
    <col min="1" max="1" width="3.42578125" style="42" customWidth="1"/>
    <col min="2" max="2" width="13.7109375" style="42" customWidth="1"/>
    <col min="3" max="3" width="13.5703125" style="42" customWidth="1"/>
    <col min="4" max="4" width="15.7109375" style="42" customWidth="1"/>
    <col min="5" max="5" width="12.85546875" style="43" customWidth="1"/>
    <col min="6" max="6" width="21" style="42" customWidth="1"/>
    <col min="7" max="7" width="16.28515625" style="42" bestFit="1" customWidth="1"/>
    <col min="8" max="8" width="17.7109375" style="42" bestFit="1" customWidth="1"/>
    <col min="9" max="9" width="1.140625" style="42" customWidth="1"/>
    <col min="10" max="10" width="9.85546875" style="42" bestFit="1" customWidth="1"/>
    <col min="11" max="11" width="11" style="42" bestFit="1" customWidth="1"/>
    <col min="12" max="13" width="9.140625" style="42"/>
    <col min="14" max="14" width="24.140625" style="42" customWidth="1"/>
    <col min="15" max="16384" width="9.140625" style="42"/>
  </cols>
  <sheetData>
    <row r="2" spans="2:12">
      <c r="B2" s="43"/>
      <c r="C2" s="43"/>
      <c r="D2" s="43"/>
      <c r="F2" s="43"/>
      <c r="G2" s="1327" t="s">
        <v>226</v>
      </c>
      <c r="H2" s="1327"/>
      <c r="I2" s="43"/>
      <c r="J2" s="44"/>
      <c r="K2" s="44"/>
      <c r="L2" s="44"/>
    </row>
    <row r="3" spans="2:12">
      <c r="B3" s="43"/>
      <c r="C3" s="43"/>
      <c r="D3" s="43"/>
      <c r="F3" s="43"/>
      <c r="G3" s="1327"/>
      <c r="H3" s="1327"/>
      <c r="I3" s="43"/>
      <c r="J3" s="44"/>
      <c r="K3" s="44"/>
      <c r="L3" s="44"/>
    </row>
    <row r="4" spans="2:12" s="364" customFormat="1" ht="16.5">
      <c r="B4" s="365"/>
      <c r="C4" s="1328" t="s">
        <v>1176</v>
      </c>
      <c r="D4" s="1328"/>
      <c r="E4" s="1328"/>
      <c r="F4" s="1328"/>
      <c r="G4" s="1328"/>
      <c r="H4" s="365"/>
      <c r="I4" s="365"/>
      <c r="J4" s="366"/>
      <c r="K4" s="366"/>
      <c r="L4" s="366"/>
    </row>
    <row r="5" spans="2:12" s="364" customFormat="1" ht="16.5">
      <c r="B5" s="365"/>
      <c r="C5" s="1329" t="s">
        <v>863</v>
      </c>
      <c r="D5" s="1329"/>
      <c r="E5" s="1329"/>
      <c r="F5" s="1329"/>
      <c r="G5" s="1329"/>
      <c r="H5" s="365"/>
      <c r="I5" s="365"/>
      <c r="J5" s="366"/>
      <c r="K5" s="366"/>
      <c r="L5" s="366"/>
    </row>
    <row r="6" spans="2:12" ht="13.5" thickBot="1">
      <c r="B6" s="45" t="s">
        <v>169</v>
      </c>
      <c r="C6" s="46"/>
      <c r="D6" s="47"/>
      <c r="E6" s="47"/>
      <c r="F6" s="48"/>
      <c r="G6" s="49"/>
      <c r="H6" s="49"/>
      <c r="I6" s="43"/>
      <c r="J6" s="44"/>
      <c r="K6" s="44"/>
      <c r="L6" s="44"/>
    </row>
    <row r="7" spans="2:12" ht="15" thickTop="1">
      <c r="B7" s="50" t="s">
        <v>170</v>
      </c>
      <c r="C7" s="51" t="s">
        <v>862</v>
      </c>
      <c r="D7" s="47"/>
      <c r="E7" s="47"/>
      <c r="F7" s="48"/>
      <c r="G7" s="49"/>
      <c r="H7" s="52" t="s">
        <v>171</v>
      </c>
      <c r="I7" s="43"/>
      <c r="J7" s="44"/>
      <c r="K7" s="44"/>
      <c r="L7" s="44"/>
    </row>
    <row r="8" spans="2:12" ht="18.600000000000001" customHeight="1">
      <c r="B8" s="53" t="s">
        <v>172</v>
      </c>
      <c r="C8" s="46"/>
      <c r="D8" s="51"/>
      <c r="E8" s="47"/>
      <c r="F8" s="1319" t="s">
        <v>173</v>
      </c>
      <c r="G8" s="1320"/>
      <c r="H8" s="588">
        <v>13219003.02</v>
      </c>
      <c r="I8" s="43"/>
      <c r="J8" s="44"/>
      <c r="K8" s="44"/>
      <c r="L8" s="44"/>
    </row>
    <row r="9" spans="2:12" ht="16.899999999999999" customHeight="1">
      <c r="B9" s="50" t="s">
        <v>73</v>
      </c>
      <c r="C9" s="51" t="s">
        <v>551</v>
      </c>
      <c r="D9" s="47"/>
      <c r="E9" s="47"/>
      <c r="F9" s="1321" t="s">
        <v>850</v>
      </c>
      <c r="G9" s="1322"/>
      <c r="H9" s="588">
        <v>16676057.32</v>
      </c>
      <c r="I9" s="43"/>
      <c r="J9" s="44"/>
      <c r="K9" s="44"/>
      <c r="L9" s="44"/>
    </row>
    <row r="10" spans="2:12" ht="15.6" customHeight="1">
      <c r="B10" s="54"/>
      <c r="C10" s="47"/>
      <c r="D10" s="47"/>
      <c r="E10" s="47"/>
      <c r="F10" s="1323" t="s">
        <v>851</v>
      </c>
      <c r="G10" s="1324"/>
      <c r="H10" s="588">
        <v>6265671.4199999999</v>
      </c>
      <c r="I10" s="43"/>
      <c r="J10" s="44"/>
      <c r="K10" s="44"/>
      <c r="L10" s="44"/>
    </row>
    <row r="11" spans="2:12" ht="15" customHeight="1">
      <c r="B11" s="1330" t="s">
        <v>174</v>
      </c>
      <c r="C11" s="1330"/>
      <c r="D11" s="51"/>
      <c r="E11" s="51"/>
      <c r="F11" s="1319" t="s">
        <v>177</v>
      </c>
      <c r="G11" s="1320"/>
      <c r="H11" s="588">
        <v>2414403.13</v>
      </c>
      <c r="I11" s="43"/>
      <c r="J11" s="44"/>
      <c r="K11" s="44"/>
      <c r="L11" s="44"/>
    </row>
    <row r="12" spans="2:12" ht="16.899999999999999" customHeight="1">
      <c r="B12" s="47" t="s">
        <v>175</v>
      </c>
      <c r="C12" s="1331" t="s">
        <v>225</v>
      </c>
      <c r="D12" s="1331"/>
      <c r="E12" s="51"/>
      <c r="G12" s="591" t="s">
        <v>852</v>
      </c>
      <c r="H12" s="588">
        <f>(H8+H9+H10+H11)*0.15</f>
        <v>5786270.2335000001</v>
      </c>
      <c r="I12" s="43"/>
      <c r="J12" s="44"/>
      <c r="K12" s="44"/>
      <c r="L12" s="44"/>
    </row>
    <row r="13" spans="2:12" ht="14.25">
      <c r="B13" s="1332" t="s">
        <v>176</v>
      </c>
      <c r="C13" s="1332"/>
      <c r="D13" s="46"/>
      <c r="E13" s="51"/>
      <c r="H13" s="589"/>
      <c r="I13" s="43"/>
      <c r="J13" s="44"/>
      <c r="K13" s="44"/>
      <c r="L13" s="44"/>
    </row>
    <row r="14" spans="2:12" ht="14.25">
      <c r="B14" s="50" t="s">
        <v>178</v>
      </c>
      <c r="C14" s="51" t="s">
        <v>77</v>
      </c>
      <c r="D14" s="51"/>
      <c r="E14" s="51"/>
      <c r="F14" s="1319" t="s">
        <v>181</v>
      </c>
      <c r="G14" s="1320"/>
      <c r="H14" s="1337">
        <f>H8+H9+H10+H11+H12</f>
        <v>44361405.123500004</v>
      </c>
      <c r="I14" s="43"/>
      <c r="J14" s="44"/>
      <c r="K14" s="44"/>
      <c r="L14" s="44"/>
    </row>
    <row r="15" spans="2:12" ht="14.25">
      <c r="B15" s="1332" t="s">
        <v>179</v>
      </c>
      <c r="C15" s="1332"/>
      <c r="D15" s="46"/>
      <c r="E15" s="51"/>
      <c r="H15" s="1338"/>
      <c r="I15" s="43"/>
      <c r="J15" s="44"/>
      <c r="K15" s="44"/>
      <c r="L15" s="44"/>
    </row>
    <row r="16" spans="2:12" ht="12.75" customHeight="1">
      <c r="B16" s="50" t="s">
        <v>180</v>
      </c>
      <c r="C16" s="56" t="s">
        <v>224</v>
      </c>
      <c r="D16" s="56"/>
      <c r="E16" s="47"/>
      <c r="F16" s="1314"/>
      <c r="G16" s="1314"/>
      <c r="H16" s="594"/>
      <c r="I16" s="43"/>
      <c r="J16" s="44"/>
      <c r="K16" s="44">
        <f>15886770.77</f>
        <v>15886770.77</v>
      </c>
      <c r="L16" s="44"/>
    </row>
    <row r="17" spans="2:14" ht="13.9" customHeight="1">
      <c r="B17" s="48"/>
      <c r="C17" s="48"/>
      <c r="D17" s="48"/>
      <c r="E17" s="48"/>
      <c r="H17" s="89"/>
      <c r="I17" s="43"/>
      <c r="J17" s="44"/>
      <c r="K17" s="44"/>
      <c r="L17" s="44"/>
    </row>
    <row r="18" spans="2:14" ht="13.5" thickBot="1">
      <c r="B18" s="48"/>
      <c r="C18" s="48"/>
      <c r="D18" s="48"/>
      <c r="E18" s="48"/>
      <c r="F18" s="48"/>
      <c r="G18" s="49"/>
      <c r="H18" s="49"/>
      <c r="I18" s="43"/>
      <c r="J18" s="44" t="s">
        <v>76</v>
      </c>
      <c r="K18" s="44"/>
      <c r="L18" s="44"/>
    </row>
    <row r="19" spans="2:14" ht="16.5" customHeight="1" thickTop="1">
      <c r="B19" s="49"/>
      <c r="C19" s="49"/>
      <c r="D19" s="49"/>
      <c r="E19" s="49"/>
      <c r="F19" s="49"/>
      <c r="G19" s="49"/>
      <c r="H19" s="57" t="s">
        <v>171</v>
      </c>
      <c r="I19" s="43"/>
      <c r="J19" s="44"/>
      <c r="K19" s="44"/>
      <c r="L19" s="44"/>
    </row>
    <row r="20" spans="2:14" ht="15.75" customHeight="1">
      <c r="B20" s="1333" t="s">
        <v>182</v>
      </c>
      <c r="C20" s="1333"/>
      <c r="D20" s="1333"/>
      <c r="E20" s="1333"/>
      <c r="F20" s="1333"/>
      <c r="G20" s="1333"/>
      <c r="H20" s="1334">
        <f>'Grand Summary'!K64:K64</f>
        <v>39582211.32942611</v>
      </c>
      <c r="I20" s="43"/>
      <c r="J20" s="44"/>
      <c r="K20" s="44"/>
      <c r="L20" s="44"/>
      <c r="M20" s="42">
        <f>177/2</f>
        <v>88.5</v>
      </c>
    </row>
    <row r="21" spans="2:14" ht="14.25" customHeight="1">
      <c r="B21" s="1335" t="s">
        <v>183</v>
      </c>
      <c r="C21" s="1335"/>
      <c r="D21" s="1335"/>
      <c r="E21" s="1335"/>
      <c r="F21" s="1335"/>
      <c r="G21" s="1336"/>
      <c r="H21" s="1334"/>
      <c r="I21" s="58"/>
      <c r="J21" s="44"/>
      <c r="K21" s="44"/>
      <c r="L21" s="44"/>
    </row>
    <row r="22" spans="2:14" ht="19.5" customHeight="1">
      <c r="B22" s="59"/>
      <c r="C22" s="59"/>
      <c r="D22" s="59"/>
      <c r="E22" s="59"/>
      <c r="F22" s="59"/>
      <c r="G22" s="60" t="s">
        <v>184</v>
      </c>
      <c r="H22" s="339"/>
      <c r="I22" s="58"/>
      <c r="J22" s="44"/>
      <c r="K22" s="44"/>
      <c r="L22" s="44"/>
    </row>
    <row r="23" spans="2:14" ht="22.5" customHeight="1" thickBot="1">
      <c r="B23" s="59"/>
      <c r="C23" s="59"/>
      <c r="D23" s="59"/>
      <c r="E23" s="59"/>
      <c r="F23" s="59"/>
      <c r="G23" s="60" t="s">
        <v>185</v>
      </c>
      <c r="H23" s="339">
        <f>H22+H20</f>
        <v>39582211.32942611</v>
      </c>
      <c r="I23" s="58"/>
      <c r="K23" s="61">
        <f>177*0.8</f>
        <v>141.6</v>
      </c>
    </row>
    <row r="24" spans="2:14" ht="17.45" customHeight="1" thickTop="1">
      <c r="B24" s="62" t="s">
        <v>186</v>
      </c>
      <c r="C24" s="63" t="s">
        <v>187</v>
      </c>
      <c r="D24" s="64" t="s">
        <v>188</v>
      </c>
      <c r="E24" s="52" t="s">
        <v>853</v>
      </c>
      <c r="F24" s="48" t="s">
        <v>189</v>
      </c>
      <c r="G24" s="65" t="s">
        <v>171</v>
      </c>
      <c r="H24" s="1303"/>
      <c r="I24" s="43"/>
      <c r="J24" s="61"/>
      <c r="K24" s="66"/>
      <c r="L24" s="44"/>
    </row>
    <row r="25" spans="2:14">
      <c r="B25" s="67" t="s">
        <v>190</v>
      </c>
      <c r="C25" s="73" t="s">
        <v>191</v>
      </c>
      <c r="D25" s="68" t="s">
        <v>192</v>
      </c>
      <c r="E25" s="68"/>
      <c r="F25" s="69" t="s">
        <v>193</v>
      </c>
      <c r="G25" s="1306">
        <f>D41</f>
        <v>15759338.779999999</v>
      </c>
      <c r="H25" s="1304"/>
      <c r="I25" s="43"/>
      <c r="J25" s="44"/>
      <c r="K25" s="70"/>
      <c r="L25" s="44"/>
    </row>
    <row r="26" spans="2:14" ht="17.25" customHeight="1">
      <c r="B26" s="117">
        <v>1</v>
      </c>
      <c r="C26" s="75" t="s">
        <v>550</v>
      </c>
      <c r="D26" s="72">
        <v>2643800.6</v>
      </c>
      <c r="E26" s="595"/>
      <c r="F26" s="48" t="s">
        <v>194</v>
      </c>
      <c r="G26" s="1307"/>
      <c r="H26" s="1304"/>
      <c r="I26" s="43"/>
      <c r="J26" s="44"/>
      <c r="K26" s="66"/>
      <c r="L26" s="44"/>
    </row>
    <row r="27" spans="2:14" ht="17.25" customHeight="1">
      <c r="B27" s="117"/>
      <c r="C27" s="75" t="s">
        <v>550</v>
      </c>
      <c r="D27" s="72">
        <v>2035059.24</v>
      </c>
      <c r="E27" s="595"/>
      <c r="F27" s="69" t="s">
        <v>195</v>
      </c>
      <c r="G27" s="593"/>
      <c r="H27" s="1304"/>
      <c r="I27" s="43"/>
      <c r="J27" s="44"/>
      <c r="K27" s="70"/>
      <c r="L27" s="44">
        <f>1673318.95-1399004.36</f>
        <v>274314.58999999985</v>
      </c>
    </row>
    <row r="28" spans="2:14" ht="17.25" customHeight="1">
      <c r="B28" s="117"/>
      <c r="C28" s="75" t="s">
        <v>550</v>
      </c>
      <c r="D28" s="72">
        <v>1174956.7</v>
      </c>
      <c r="E28" s="595"/>
      <c r="F28" s="69"/>
      <c r="G28" s="1325"/>
      <c r="H28" s="1304"/>
      <c r="I28" s="43"/>
      <c r="J28" s="44"/>
      <c r="K28" s="70"/>
      <c r="L28" s="44"/>
    </row>
    <row r="29" spans="2:14" ht="16.5" customHeight="1">
      <c r="B29" s="117">
        <v>2</v>
      </c>
      <c r="C29" s="71"/>
      <c r="D29" s="72">
        <v>255208.54</v>
      </c>
      <c r="E29" s="596">
        <v>48489.62</v>
      </c>
      <c r="F29" s="48" t="s">
        <v>196</v>
      </c>
      <c r="G29" s="1326"/>
      <c r="H29" s="1304"/>
      <c r="I29" s="43"/>
      <c r="J29" s="44"/>
      <c r="K29" s="44"/>
      <c r="L29" s="44"/>
    </row>
    <row r="30" spans="2:14" ht="17.25" customHeight="1">
      <c r="B30" s="117">
        <v>3</v>
      </c>
      <c r="C30" s="73"/>
      <c r="D30" s="162">
        <v>423577.62</v>
      </c>
      <c r="E30" s="596">
        <v>80479.75</v>
      </c>
      <c r="F30" s="69" t="s">
        <v>197</v>
      </c>
      <c r="G30" s="1306">
        <f>H20*0.05</f>
        <v>1979110.5664713057</v>
      </c>
      <c r="H30" s="1304"/>
      <c r="I30" s="43"/>
      <c r="J30" s="44"/>
      <c r="K30" s="44"/>
      <c r="L30" s="44"/>
    </row>
    <row r="31" spans="2:14">
      <c r="B31" s="117">
        <v>4</v>
      </c>
      <c r="C31" s="75"/>
      <c r="D31" s="163">
        <v>82540.679999999993</v>
      </c>
      <c r="E31" s="596">
        <v>23296</v>
      </c>
      <c r="F31" s="48" t="s">
        <v>198</v>
      </c>
      <c r="G31" s="1307"/>
      <c r="H31" s="1304"/>
      <c r="I31" s="43"/>
      <c r="J31" s="1296"/>
      <c r="K31" s="1296"/>
      <c r="L31" s="44"/>
    </row>
    <row r="32" spans="2:14">
      <c r="B32" s="117">
        <v>5</v>
      </c>
      <c r="C32" s="75"/>
      <c r="D32" s="164">
        <v>167561.53</v>
      </c>
      <c r="E32" s="596">
        <v>33512.300000000003</v>
      </c>
      <c r="F32" s="69" t="s">
        <v>199</v>
      </c>
      <c r="G32" s="1306"/>
      <c r="H32" s="1304"/>
      <c r="I32" s="43"/>
      <c r="J32" s="44"/>
      <c r="K32" s="44"/>
      <c r="L32" s="44"/>
      <c r="N32" s="42">
        <f>20763292.2</f>
        <v>20763292.199999999</v>
      </c>
    </row>
    <row r="33" spans="2:14">
      <c r="B33" s="117">
        <v>6</v>
      </c>
      <c r="C33" s="75"/>
      <c r="D33" s="163">
        <v>113447.07</v>
      </c>
      <c r="E33" s="596">
        <v>22689.42</v>
      </c>
      <c r="F33" s="48" t="s">
        <v>200</v>
      </c>
      <c r="G33" s="1307"/>
      <c r="H33" s="1304"/>
      <c r="I33" s="43"/>
      <c r="J33" s="1296"/>
      <c r="K33" s="1296"/>
      <c r="L33" s="44"/>
      <c r="N33" s="110">
        <f>N32-H20</f>
        <v>-18818919.129426111</v>
      </c>
    </row>
    <row r="34" spans="2:14">
      <c r="B34" s="117">
        <v>7</v>
      </c>
      <c r="C34" s="75"/>
      <c r="D34" s="163">
        <v>339070.94</v>
      </c>
      <c r="E34" s="596">
        <v>67814.19</v>
      </c>
      <c r="F34" s="69" t="s">
        <v>201</v>
      </c>
      <c r="G34" s="1315">
        <f>H20*0.191</f>
        <v>7560202.3639203869</v>
      </c>
      <c r="H34" s="1304"/>
      <c r="I34" s="43"/>
      <c r="J34" s="44"/>
      <c r="K34" s="44"/>
      <c r="L34" s="44"/>
      <c r="N34" s="110">
        <v>6053576.9071938936</v>
      </c>
    </row>
    <row r="35" spans="2:14">
      <c r="B35" s="117">
        <v>8</v>
      </c>
      <c r="C35" s="75"/>
      <c r="D35" s="163">
        <v>1283629.1399999999</v>
      </c>
      <c r="E35" s="596">
        <v>256725.82</v>
      </c>
      <c r="F35" s="48" t="s">
        <v>765</v>
      </c>
      <c r="G35" s="1316"/>
      <c r="H35" s="1304"/>
      <c r="I35" s="43"/>
      <c r="J35" s="44"/>
      <c r="K35" s="44"/>
      <c r="L35" s="44"/>
    </row>
    <row r="36" spans="2:14">
      <c r="B36" s="117">
        <v>9</v>
      </c>
      <c r="C36" s="76"/>
      <c r="D36" s="163">
        <v>1665233.53</v>
      </c>
      <c r="E36" s="596">
        <v>414950.22</v>
      </c>
      <c r="F36" s="69"/>
      <c r="G36" s="1317"/>
      <c r="H36" s="1304"/>
      <c r="I36" s="43"/>
      <c r="J36" s="44"/>
      <c r="K36" s="44"/>
      <c r="L36" s="44"/>
    </row>
    <row r="37" spans="2:14" ht="15" customHeight="1">
      <c r="B37" s="74">
        <v>10</v>
      </c>
      <c r="C37" s="75"/>
      <c r="D37" s="163">
        <v>951845.57</v>
      </c>
      <c r="E37" s="596">
        <v>208372.5</v>
      </c>
      <c r="F37" s="48"/>
      <c r="G37" s="1318"/>
      <c r="H37" s="1304"/>
      <c r="I37" s="43"/>
      <c r="J37" s="1296"/>
      <c r="K37" s="1296"/>
      <c r="L37" s="44"/>
    </row>
    <row r="38" spans="2:14" ht="17.25" customHeight="1">
      <c r="B38" s="117">
        <v>11</v>
      </c>
      <c r="C38" s="75"/>
      <c r="D38" s="163">
        <v>6775944.3899999997</v>
      </c>
      <c r="E38" s="596">
        <v>1226685.8</v>
      </c>
      <c r="F38" s="77" t="s">
        <v>202</v>
      </c>
      <c r="G38" s="1306"/>
      <c r="H38" s="1304"/>
      <c r="I38" s="43"/>
      <c r="J38" s="44"/>
      <c r="K38" s="44"/>
      <c r="L38" s="44"/>
    </row>
    <row r="39" spans="2:14">
      <c r="B39" s="117">
        <v>12</v>
      </c>
      <c r="C39" s="78"/>
      <c r="D39" s="163">
        <v>3701279.77</v>
      </c>
      <c r="E39" s="596">
        <v>731478.21</v>
      </c>
      <c r="F39" s="48" t="s">
        <v>203</v>
      </c>
      <c r="G39" s="1307"/>
      <c r="H39" s="1305"/>
      <c r="I39" s="43"/>
      <c r="J39" s="1296"/>
      <c r="K39" s="1296"/>
      <c r="L39" s="44"/>
    </row>
    <row r="40" spans="2:14" ht="15" thickBot="1">
      <c r="B40" s="80"/>
      <c r="C40" s="81"/>
      <c r="D40" s="79"/>
      <c r="E40" s="596"/>
      <c r="F40" s="592" t="s">
        <v>204</v>
      </c>
      <c r="G40" s="1308">
        <f>SUM(G25:G39)</f>
        <v>25298651.710391693</v>
      </c>
      <c r="H40" s="1310"/>
      <c r="I40" s="43"/>
      <c r="J40" s="44"/>
      <c r="K40" s="44"/>
      <c r="L40" s="44"/>
    </row>
    <row r="41" spans="2:14" ht="15.75" thickTop="1" thickBot="1">
      <c r="B41" s="82"/>
      <c r="C41" s="83"/>
      <c r="D41" s="84">
        <f>SUM(D29:D40)</f>
        <v>15759338.779999999</v>
      </c>
      <c r="E41" s="596">
        <f>SUM(E29:E39)</f>
        <v>3114493.83</v>
      </c>
      <c r="F41" s="48" t="s">
        <v>205</v>
      </c>
      <c r="G41" s="1309"/>
      <c r="H41" s="1311"/>
      <c r="I41" s="43"/>
      <c r="J41" s="1296"/>
      <c r="K41" s="1296"/>
      <c r="L41" s="44"/>
    </row>
    <row r="42" spans="2:14" ht="15" thickTop="1">
      <c r="B42" s="82"/>
      <c r="C42" s="83"/>
      <c r="D42" s="85"/>
      <c r="E42" s="49"/>
      <c r="F42" s="86" t="s">
        <v>206</v>
      </c>
      <c r="G42" s="55"/>
      <c r="H42" s="1297"/>
      <c r="I42" s="43"/>
      <c r="J42" s="44"/>
      <c r="K42" s="61"/>
      <c r="L42" s="44"/>
    </row>
    <row r="43" spans="2:14" ht="15" customHeight="1" thickBot="1">
      <c r="B43" s="1299" t="s">
        <v>207</v>
      </c>
      <c r="C43" s="1300"/>
      <c r="D43" s="87">
        <f>D26+D27+D28</f>
        <v>5853816.54</v>
      </c>
      <c r="E43" s="49"/>
      <c r="F43" s="55" t="s">
        <v>208</v>
      </c>
      <c r="G43" s="55"/>
      <c r="H43" s="1298"/>
      <c r="I43" s="43"/>
      <c r="J43" s="44"/>
      <c r="K43" s="44"/>
      <c r="L43" s="44"/>
    </row>
    <row r="44" spans="2:14" ht="15" customHeight="1" thickTop="1" thickBot="1">
      <c r="B44" s="1312" t="s">
        <v>209</v>
      </c>
      <c r="C44" s="1313"/>
      <c r="D44" s="88">
        <f>G34</f>
        <v>7560202.3639203869</v>
      </c>
      <c r="E44" s="49"/>
      <c r="F44" s="55"/>
      <c r="G44" s="55"/>
      <c r="H44" s="89"/>
      <c r="I44" s="43"/>
      <c r="J44" s="44"/>
      <c r="K44" s="44"/>
      <c r="L44" s="44"/>
    </row>
    <row r="45" spans="2:14" ht="15" customHeight="1" thickBot="1">
      <c r="B45" s="1301" t="s">
        <v>210</v>
      </c>
      <c r="C45" s="1302"/>
      <c r="D45" s="90">
        <f>D43-D44</f>
        <v>-1706385.8239203868</v>
      </c>
      <c r="E45" s="49"/>
      <c r="F45" s="55"/>
      <c r="G45" s="55"/>
      <c r="H45" s="89"/>
      <c r="I45" s="43"/>
      <c r="J45" s="44"/>
      <c r="K45" s="44"/>
      <c r="L45" s="44"/>
    </row>
    <row r="46" spans="2:14" ht="15" customHeight="1">
      <c r="B46" s="111" t="s">
        <v>218</v>
      </c>
      <c r="C46" s="91"/>
      <c r="D46" s="92"/>
      <c r="E46" s="49"/>
      <c r="F46" s="55"/>
      <c r="G46" s="55"/>
      <c r="H46" s="89"/>
      <c r="I46" s="43"/>
      <c r="J46" s="44"/>
      <c r="K46" s="44"/>
      <c r="L46" s="44"/>
    </row>
    <row r="47" spans="2:14" ht="14.25">
      <c r="B47" s="1292" t="s">
        <v>219</v>
      </c>
      <c r="C47" s="1293"/>
      <c r="D47" s="113">
        <f>H20</f>
        <v>39582211.32942611</v>
      </c>
      <c r="E47" s="49"/>
      <c r="F47" s="48"/>
      <c r="G47" s="49"/>
      <c r="H47" s="93"/>
      <c r="I47" s="43"/>
      <c r="J47" s="44"/>
      <c r="K47" s="44"/>
      <c r="L47" s="44"/>
    </row>
    <row r="48" spans="2:14" ht="14.25">
      <c r="B48" s="1292" t="s">
        <v>220</v>
      </c>
      <c r="C48" s="1293"/>
      <c r="D48" s="112">
        <f>D47*15%</f>
        <v>5937331.6994139161</v>
      </c>
      <c r="E48" s="49"/>
      <c r="F48" s="48"/>
      <c r="G48" s="49"/>
      <c r="H48" s="93"/>
      <c r="I48" s="43"/>
      <c r="J48" s="44"/>
      <c r="K48" s="44"/>
      <c r="L48" s="44"/>
    </row>
    <row r="49" spans="1:12" ht="14.25">
      <c r="B49" s="1292" t="s">
        <v>221</v>
      </c>
      <c r="C49" s="1293"/>
      <c r="D49" s="114">
        <f>D41*0.15</f>
        <v>2363900.8169999998</v>
      </c>
      <c r="E49" s="49"/>
      <c r="F49" s="48"/>
      <c r="G49" s="49"/>
      <c r="H49" s="93"/>
      <c r="I49" s="43"/>
      <c r="J49" s="44"/>
      <c r="K49" s="44"/>
      <c r="L49" s="44"/>
    </row>
    <row r="50" spans="1:12" ht="14.25">
      <c r="B50" s="1292" t="s">
        <v>222</v>
      </c>
      <c r="C50" s="1293"/>
      <c r="D50" s="115">
        <f>D48-D49</f>
        <v>3573430.8824139163</v>
      </c>
      <c r="E50" s="49"/>
      <c r="F50" s="48"/>
      <c r="G50" s="49"/>
      <c r="H50" s="93"/>
      <c r="I50" s="43"/>
      <c r="J50" s="44"/>
      <c r="K50" s="44"/>
      <c r="L50" s="44"/>
    </row>
    <row r="51" spans="1:12" ht="14.25">
      <c r="B51" s="1292" t="s">
        <v>223</v>
      </c>
      <c r="C51" s="1293"/>
      <c r="D51" s="116">
        <f>H42+D50</f>
        <v>3573430.8824139163</v>
      </c>
      <c r="E51" s="49"/>
      <c r="F51" s="48"/>
      <c r="G51" s="49"/>
      <c r="H51" s="93"/>
      <c r="I51" s="43"/>
      <c r="J51" s="44"/>
      <c r="K51" s="44"/>
      <c r="L51" s="44"/>
    </row>
    <row r="52" spans="1:12">
      <c r="B52" s="49"/>
      <c r="C52" s="49"/>
      <c r="D52" s="49"/>
      <c r="E52" s="49"/>
      <c r="F52" s="48"/>
      <c r="G52" s="49"/>
      <c r="H52" s="49"/>
      <c r="I52" s="43"/>
      <c r="J52" s="44"/>
      <c r="K52" s="44"/>
      <c r="L52" s="44"/>
    </row>
    <row r="53" spans="1:12" ht="16.5" customHeight="1">
      <c r="A53" s="367" t="s">
        <v>860</v>
      </c>
      <c r="B53" s="474"/>
      <c r="C53" s="95"/>
      <c r="D53" s="96"/>
      <c r="E53" s="597"/>
      <c r="F53" s="96"/>
      <c r="G53" s="96"/>
      <c r="H53" s="96"/>
      <c r="I53" s="96"/>
      <c r="J53" s="44"/>
      <c r="K53" s="44"/>
      <c r="L53" s="44"/>
    </row>
    <row r="54" spans="1:12" ht="15">
      <c r="B54" s="97"/>
      <c r="C54" s="98"/>
      <c r="D54" s="98"/>
      <c r="E54" s="598"/>
      <c r="F54" s="98"/>
      <c r="G54" s="98"/>
      <c r="H54" s="98"/>
      <c r="I54" s="94"/>
      <c r="J54" s="99"/>
      <c r="K54" s="99"/>
      <c r="L54" s="99"/>
    </row>
    <row r="55" spans="1:12">
      <c r="B55" s="49"/>
      <c r="C55" s="49"/>
      <c r="D55" s="100" t="s">
        <v>211</v>
      </c>
      <c r="E55" s="100"/>
      <c r="F55" s="100"/>
      <c r="G55" s="100"/>
      <c r="H55" s="100"/>
      <c r="I55" s="101"/>
      <c r="J55" s="44"/>
      <c r="K55" s="44"/>
      <c r="L55" s="44"/>
    </row>
    <row r="56" spans="1:12" ht="15.75">
      <c r="B56" s="103"/>
      <c r="C56" s="103"/>
      <c r="D56" s="103"/>
      <c r="E56" s="599"/>
      <c r="F56" s="104"/>
      <c r="G56" s="105"/>
      <c r="H56" s="49"/>
      <c r="I56" s="43"/>
      <c r="J56" s="44"/>
      <c r="K56" s="44"/>
      <c r="L56" s="44"/>
    </row>
    <row r="57" spans="1:12" ht="14.25">
      <c r="B57" s="102" t="s">
        <v>212</v>
      </c>
      <c r="C57" s="102"/>
      <c r="D57" s="102"/>
      <c r="E57" s="590"/>
      <c r="F57" s="1294" t="s">
        <v>213</v>
      </c>
      <c r="G57" s="1294"/>
      <c r="H57" s="1294"/>
      <c r="I57" s="43"/>
      <c r="J57" s="44"/>
      <c r="K57" s="44"/>
      <c r="L57" s="44"/>
    </row>
    <row r="58" spans="1:12" ht="15.75">
      <c r="B58" s="106" t="s">
        <v>214</v>
      </c>
      <c r="C58" s="106"/>
      <c r="D58" s="106"/>
      <c r="E58" s="592"/>
      <c r="F58" s="1295" t="s">
        <v>215</v>
      </c>
      <c r="G58" s="1295"/>
      <c r="H58" s="1295"/>
      <c r="I58" s="107"/>
      <c r="J58" s="107"/>
      <c r="K58" s="107"/>
      <c r="L58" s="44"/>
    </row>
    <row r="59" spans="1:12" ht="15">
      <c r="B59" s="108" t="s">
        <v>216</v>
      </c>
      <c r="C59" s="108"/>
      <c r="D59" s="108"/>
      <c r="E59" s="590"/>
      <c r="F59" s="1291" t="s">
        <v>217</v>
      </c>
      <c r="G59" s="1291"/>
      <c r="H59" s="1291"/>
      <c r="I59" s="43"/>
      <c r="J59" s="44"/>
      <c r="K59" s="44"/>
      <c r="L59" s="44"/>
    </row>
    <row r="60" spans="1:12">
      <c r="B60" s="103"/>
      <c r="C60" s="103"/>
      <c r="D60" s="103"/>
      <c r="E60" s="599"/>
      <c r="F60" s="103"/>
      <c r="G60" s="103"/>
      <c r="H60" s="103"/>
      <c r="I60" s="43"/>
      <c r="J60" s="44"/>
      <c r="K60" s="44"/>
      <c r="L60" s="44"/>
    </row>
    <row r="61" spans="1:12">
      <c r="B61" s="109"/>
      <c r="C61" s="109"/>
      <c r="D61" s="109"/>
      <c r="E61" s="49"/>
      <c r="F61" s="109"/>
      <c r="G61" s="109"/>
      <c r="H61" s="109"/>
    </row>
    <row r="65" spans="10:10">
      <c r="J65" s="110"/>
    </row>
  </sheetData>
  <mergeCells count="45">
    <mergeCell ref="F9:G9"/>
    <mergeCell ref="F10:G10"/>
    <mergeCell ref="G28:G29"/>
    <mergeCell ref="G2:H2"/>
    <mergeCell ref="G3:H3"/>
    <mergeCell ref="C4:G4"/>
    <mergeCell ref="C5:G5"/>
    <mergeCell ref="F8:G8"/>
    <mergeCell ref="B11:C11"/>
    <mergeCell ref="C12:D12"/>
    <mergeCell ref="B15:C15"/>
    <mergeCell ref="B20:G20"/>
    <mergeCell ref="H20:H21"/>
    <mergeCell ref="B21:G21"/>
    <mergeCell ref="B13:C13"/>
    <mergeCell ref="H14:H15"/>
    <mergeCell ref="F16:G16"/>
    <mergeCell ref="J39:K39"/>
    <mergeCell ref="G34:G35"/>
    <mergeCell ref="G36:G37"/>
    <mergeCell ref="F11:G11"/>
    <mergeCell ref="F14:G14"/>
    <mergeCell ref="J31:K31"/>
    <mergeCell ref="G32:G33"/>
    <mergeCell ref="J33:K33"/>
    <mergeCell ref="J41:K41"/>
    <mergeCell ref="H42:H43"/>
    <mergeCell ref="B43:C43"/>
    <mergeCell ref="B45:C45"/>
    <mergeCell ref="H24:H39"/>
    <mergeCell ref="G25:G26"/>
    <mergeCell ref="G30:G31"/>
    <mergeCell ref="G40:G41"/>
    <mergeCell ref="H40:H41"/>
    <mergeCell ref="G38:G39"/>
    <mergeCell ref="B44:C44"/>
    <mergeCell ref="J37:K37"/>
    <mergeCell ref="F59:H59"/>
    <mergeCell ref="B47:C47"/>
    <mergeCell ref="B48:C48"/>
    <mergeCell ref="B49:C49"/>
    <mergeCell ref="B50:C50"/>
    <mergeCell ref="B51:C51"/>
    <mergeCell ref="F57:H57"/>
    <mergeCell ref="F58:H58"/>
  </mergeCells>
  <printOptions horizontalCentered="1"/>
  <pageMargins left="0.15" right="0.15" top="0.41" bottom="0.28999999999999998" header="0.2" footer="0.14000000000000001"/>
  <pageSetup scale="77" orientation="portrait" horizontalDpi="300" verticalDpi="300" r:id="rId1"/>
  <headerFooter alignWithMargins="0"/>
  <colBreaks count="2" manualBreakCount="2">
    <brk id="9" min="1" max="54" man="1"/>
    <brk id="10" min="1" max="54" man="1"/>
  </colBreaks>
</worksheet>
</file>

<file path=xl/worksheets/sheet20.xml><?xml version="1.0" encoding="utf-8"?>
<worksheet xmlns="http://schemas.openxmlformats.org/spreadsheetml/2006/main" xmlns:r="http://schemas.openxmlformats.org/officeDocument/2006/relationships">
  <dimension ref="A1:K51"/>
  <sheetViews>
    <sheetView view="pageBreakPreview" zoomScaleSheetLayoutView="100" workbookViewId="0">
      <selection activeCell="H15" sqref="H15"/>
    </sheetView>
  </sheetViews>
  <sheetFormatPr defaultRowHeight="15"/>
  <cols>
    <col min="10" max="10" width="9.42578125" customWidth="1"/>
    <col min="11" max="11" width="9.85546875" customWidth="1"/>
  </cols>
  <sheetData>
    <row r="1" spans="1:11">
      <c r="A1" s="1578" t="s">
        <v>0</v>
      </c>
      <c r="B1" s="1579"/>
      <c r="C1" s="1580" t="s">
        <v>4</v>
      </c>
      <c r="D1" s="1581"/>
      <c r="E1" s="1582"/>
      <c r="F1" s="200" t="s">
        <v>7</v>
      </c>
      <c r="G1" s="201"/>
      <c r="H1" s="202" t="s">
        <v>8</v>
      </c>
      <c r="I1" s="201"/>
      <c r="J1" s="202" t="s">
        <v>61</v>
      </c>
      <c r="K1" s="201"/>
    </row>
    <row r="2" spans="1:11">
      <c r="A2" s="459" t="s">
        <v>552</v>
      </c>
      <c r="B2" s="169"/>
      <c r="C2" s="1583"/>
      <c r="D2" s="1584"/>
      <c r="E2" s="1585"/>
      <c r="F2" s="1595">
        <v>17</v>
      </c>
      <c r="G2" s="1596"/>
      <c r="H2" s="1586"/>
      <c r="I2" s="1587"/>
      <c r="K2" s="479">
        <v>1</v>
      </c>
    </row>
    <row r="3" spans="1:11">
      <c r="A3" s="170" t="s">
        <v>2</v>
      </c>
      <c r="B3" s="171"/>
      <c r="C3" s="167" t="s">
        <v>5</v>
      </c>
      <c r="D3" s="172"/>
      <c r="E3" s="166"/>
      <c r="F3" s="165" t="s">
        <v>9</v>
      </c>
      <c r="G3" s="172"/>
      <c r="H3" s="172"/>
      <c r="I3" s="172"/>
      <c r="J3" s="172"/>
      <c r="K3" s="166"/>
    </row>
    <row r="4" spans="1:11">
      <c r="A4" s="169" t="s">
        <v>490</v>
      </c>
      <c r="B4" s="173"/>
      <c r="C4" s="174"/>
      <c r="D4" s="456">
        <v>2</v>
      </c>
      <c r="E4" s="175"/>
      <c r="F4" s="176" t="s">
        <v>761</v>
      </c>
      <c r="G4" s="643"/>
      <c r="H4" s="643"/>
      <c r="I4" s="177"/>
      <c r="J4" s="177"/>
      <c r="K4" s="175"/>
    </row>
    <row r="5" spans="1:11">
      <c r="A5" s="170" t="s">
        <v>491</v>
      </c>
      <c r="B5" s="282"/>
      <c r="C5" s="165" t="s">
        <v>6</v>
      </c>
      <c r="D5" s="1588" t="s">
        <v>1159</v>
      </c>
      <c r="E5" s="1589"/>
      <c r="F5" s="165" t="s">
        <v>10</v>
      </c>
      <c r="G5" s="1588"/>
      <c r="H5" s="1588"/>
      <c r="I5" s="1588"/>
      <c r="J5" s="172"/>
      <c r="K5" s="166"/>
    </row>
    <row r="6" spans="1:11">
      <c r="A6" s="169" t="s">
        <v>931</v>
      </c>
      <c r="B6" s="173"/>
      <c r="C6" s="174"/>
      <c r="D6" s="177"/>
      <c r="E6" s="175"/>
      <c r="F6" s="178"/>
      <c r="G6" s="177"/>
      <c r="H6" s="177"/>
      <c r="I6" s="177"/>
      <c r="J6" s="177"/>
      <c r="K6" s="175"/>
    </row>
    <row r="7" spans="1:11">
      <c r="A7" s="179"/>
      <c r="B7" s="180"/>
      <c r="C7" s="180"/>
      <c r="D7" s="180"/>
      <c r="E7" s="180"/>
      <c r="F7" s="180"/>
      <c r="G7" s="180"/>
      <c r="H7" s="180"/>
      <c r="I7" s="180"/>
      <c r="J7" s="180"/>
      <c r="K7" s="181"/>
    </row>
    <row r="8" spans="1:11">
      <c r="A8" s="182" t="s">
        <v>11</v>
      </c>
      <c r="B8" s="183"/>
      <c r="C8" s="172"/>
      <c r="D8" s="172"/>
      <c r="E8" s="166"/>
      <c r="F8" s="184" t="s">
        <v>12</v>
      </c>
      <c r="G8" s="166"/>
      <c r="H8" s="184" t="s">
        <v>13</v>
      </c>
      <c r="I8" s="166"/>
      <c r="J8" s="184" t="s">
        <v>14</v>
      </c>
      <c r="K8" s="166"/>
    </row>
    <row r="9" spans="1:11" ht="18.75">
      <c r="A9" s="680" t="s">
        <v>933</v>
      </c>
      <c r="B9" s="647" t="s">
        <v>932</v>
      </c>
      <c r="C9" s="180"/>
      <c r="D9" s="180"/>
      <c r="E9" s="181"/>
      <c r="F9" s="179"/>
      <c r="G9" s="181"/>
      <c r="H9" s="179"/>
      <c r="I9" s="181"/>
      <c r="J9" s="179"/>
      <c r="K9" s="181"/>
    </row>
    <row r="10" spans="1:11" ht="15.75">
      <c r="A10" s="645"/>
      <c r="B10" s="510"/>
      <c r="C10" s="510"/>
      <c r="D10" s="510"/>
      <c r="E10" s="181"/>
      <c r="F10" s="179"/>
      <c r="G10" s="181"/>
      <c r="H10" s="179"/>
      <c r="I10" s="181"/>
      <c r="J10" s="179"/>
      <c r="K10" s="181"/>
    </row>
    <row r="11" spans="1:11" ht="15.75">
      <c r="A11" s="652"/>
      <c r="B11" s="651"/>
      <c r="C11" s="180"/>
      <c r="D11" s="180"/>
      <c r="E11" s="181"/>
      <c r="F11" s="179"/>
      <c r="G11" s="181"/>
      <c r="H11" s="179"/>
      <c r="I11" s="181"/>
      <c r="J11" s="179"/>
      <c r="K11" s="181"/>
    </row>
    <row r="12" spans="1:11" ht="15.75">
      <c r="A12" s="516"/>
      <c r="B12" s="186"/>
      <c r="C12" s="180"/>
      <c r="D12" s="180"/>
      <c r="E12" s="181"/>
      <c r="F12" s="179"/>
      <c r="G12" s="181"/>
      <c r="H12" s="179"/>
      <c r="I12" s="181"/>
      <c r="J12" s="179"/>
      <c r="K12" s="181"/>
    </row>
    <row r="13" spans="1:11">
      <c r="A13" s="648"/>
      <c r="B13" s="186" t="s">
        <v>934</v>
      </c>
      <c r="C13" s="180"/>
      <c r="D13" s="180"/>
      <c r="E13" s="181"/>
      <c r="F13" s="179"/>
      <c r="G13" s="181"/>
      <c r="H13" s="179"/>
      <c r="I13" s="181"/>
      <c r="J13" s="185"/>
      <c r="K13" s="181"/>
    </row>
    <row r="14" spans="1:11">
      <c r="A14" s="212"/>
      <c r="B14" s="198" t="s">
        <v>935</v>
      </c>
      <c r="C14" s="198"/>
      <c r="D14" s="198"/>
      <c r="E14" s="181"/>
      <c r="F14" s="179"/>
      <c r="G14" s="181"/>
      <c r="H14" s="179"/>
      <c r="I14" s="180"/>
      <c r="J14" s="179"/>
      <c r="K14" s="181"/>
    </row>
    <row r="15" spans="1:11">
      <c r="A15" s="648"/>
      <c r="B15" s="180"/>
      <c r="C15" s="198"/>
      <c r="D15" s="198"/>
      <c r="E15" s="181"/>
      <c r="F15" s="179"/>
      <c r="G15" s="181"/>
      <c r="H15" s="179"/>
      <c r="I15" s="181"/>
      <c r="J15" s="185"/>
      <c r="K15" s="181"/>
    </row>
    <row r="16" spans="1:11" ht="15.75" thickBot="1">
      <c r="A16" s="185"/>
      <c r="B16" s="180"/>
      <c r="C16" s="1690" t="s">
        <v>1162</v>
      </c>
      <c r="D16" s="1690"/>
      <c r="E16" s="1691"/>
      <c r="F16" s="185">
        <v>1</v>
      </c>
      <c r="G16" s="181"/>
      <c r="H16" s="185">
        <v>10</v>
      </c>
      <c r="I16" s="181"/>
      <c r="J16" s="187">
        <f>H16</f>
        <v>10</v>
      </c>
      <c r="K16" s="181"/>
    </row>
    <row r="17" spans="1:11" ht="15.75" thickTop="1">
      <c r="A17" s="212"/>
      <c r="B17" s="180"/>
      <c r="C17" s="198"/>
      <c r="D17" s="198"/>
      <c r="E17" s="890"/>
      <c r="F17" s="179"/>
      <c r="G17" s="181"/>
      <c r="H17" s="179"/>
      <c r="I17" s="181"/>
      <c r="J17" s="185"/>
      <c r="K17" s="181"/>
    </row>
    <row r="18" spans="1:11" ht="15.75" thickBot="1">
      <c r="A18" s="185"/>
      <c r="B18" s="196"/>
      <c r="C18" s="1690" t="s">
        <v>1161</v>
      </c>
      <c r="D18" s="1690"/>
      <c r="E18" s="1691"/>
      <c r="F18" s="185">
        <v>1</v>
      </c>
      <c r="G18" s="181"/>
      <c r="H18" s="185">
        <v>107</v>
      </c>
      <c r="I18" s="181"/>
      <c r="J18" s="187">
        <f>H18</f>
        <v>107</v>
      </c>
      <c r="K18" s="181"/>
    </row>
    <row r="19" spans="1:11" ht="15.75" thickTop="1">
      <c r="A19" s="185"/>
      <c r="B19" s="196"/>
      <c r="C19" s="871"/>
      <c r="D19" s="871"/>
      <c r="E19" s="872"/>
      <c r="F19" s="179"/>
      <c r="G19" s="181"/>
      <c r="H19" s="179"/>
      <c r="I19" s="181"/>
      <c r="J19" s="185"/>
      <c r="K19" s="181"/>
    </row>
    <row r="20" spans="1:11" ht="15.75" thickBot="1">
      <c r="A20" s="185"/>
      <c r="B20" s="196"/>
      <c r="C20" s="1690" t="s">
        <v>1163</v>
      </c>
      <c r="D20" s="1690"/>
      <c r="E20" s="1691"/>
      <c r="F20" s="185">
        <v>1</v>
      </c>
      <c r="G20" s="181"/>
      <c r="H20" s="185">
        <v>24</v>
      </c>
      <c r="I20" s="181"/>
      <c r="J20" s="187">
        <f>F20*H20</f>
        <v>24</v>
      </c>
      <c r="K20" s="181"/>
    </row>
    <row r="21" spans="1:11" ht="15.75" thickTop="1">
      <c r="A21" s="185"/>
      <c r="B21" s="180"/>
      <c r="C21" s="186"/>
      <c r="D21" s="186"/>
      <c r="E21" s="890"/>
      <c r="F21" s="179"/>
      <c r="G21" s="181"/>
      <c r="H21" s="179"/>
      <c r="I21" s="181"/>
      <c r="J21" s="185"/>
      <c r="K21" s="181"/>
    </row>
    <row r="22" spans="1:11">
      <c r="A22" s="197"/>
      <c r="B22" s="186"/>
      <c r="C22" s="198"/>
      <c r="D22" s="198"/>
      <c r="E22" s="181"/>
      <c r="F22" s="179"/>
      <c r="G22" s="181"/>
      <c r="H22" s="179"/>
      <c r="I22" s="181"/>
      <c r="J22" s="185"/>
      <c r="K22" s="181"/>
    </row>
    <row r="23" spans="1:11">
      <c r="A23" s="197"/>
      <c r="B23" s="180"/>
      <c r="C23" s="198"/>
      <c r="D23" s="198"/>
      <c r="E23" s="181"/>
      <c r="F23" s="179"/>
      <c r="G23" s="181"/>
      <c r="H23" s="179"/>
      <c r="I23" s="181"/>
      <c r="J23" s="185"/>
      <c r="K23" s="181"/>
    </row>
    <row r="24" spans="1:11">
      <c r="A24" s="197"/>
      <c r="B24" s="180"/>
      <c r="C24" s="180"/>
      <c r="D24" s="198"/>
      <c r="E24" s="181"/>
      <c r="F24" s="179"/>
      <c r="G24" s="181"/>
      <c r="H24" s="179"/>
      <c r="I24" s="180"/>
      <c r="J24" s="185"/>
      <c r="K24" s="181"/>
    </row>
    <row r="25" spans="1:11">
      <c r="A25" s="648"/>
      <c r="B25" s="180"/>
      <c r="C25" s="198"/>
      <c r="D25" s="198"/>
      <c r="E25" s="181"/>
      <c r="F25" s="179"/>
      <c r="G25" s="181"/>
      <c r="H25" s="179"/>
      <c r="I25" s="180"/>
      <c r="J25" s="185"/>
      <c r="K25" s="181"/>
    </row>
    <row r="26" spans="1:11">
      <c r="A26" s="212"/>
      <c r="B26" s="541"/>
      <c r="C26" s="180"/>
      <c r="D26" s="541"/>
      <c r="E26" s="181"/>
      <c r="F26" s="179"/>
      <c r="G26" s="181"/>
      <c r="H26" s="179"/>
      <c r="I26" s="180"/>
      <c r="J26" s="185"/>
      <c r="K26" s="181"/>
    </row>
    <row r="27" spans="1:11">
      <c r="A27" s="214"/>
      <c r="B27" s="186"/>
      <c r="C27" s="198"/>
      <c r="D27" s="180"/>
      <c r="E27" s="181"/>
      <c r="F27" s="179"/>
      <c r="G27" s="181"/>
      <c r="H27" s="179"/>
      <c r="I27" s="180"/>
      <c r="J27" s="179"/>
      <c r="K27" s="181"/>
    </row>
    <row r="28" spans="1:11">
      <c r="A28" s="197"/>
      <c r="B28" s="198"/>
      <c r="C28" s="180"/>
      <c r="D28" s="198"/>
      <c r="E28" s="181"/>
      <c r="F28" s="179"/>
      <c r="G28" s="181"/>
      <c r="H28" s="179"/>
      <c r="I28" s="180"/>
      <c r="J28" s="185"/>
      <c r="K28" s="181"/>
    </row>
    <row r="29" spans="1:11" ht="15.75">
      <c r="A29" s="197"/>
      <c r="B29" s="646"/>
      <c r="C29" s="198"/>
      <c r="D29" s="198"/>
      <c r="E29" s="181"/>
      <c r="F29" s="179"/>
      <c r="G29" s="181"/>
      <c r="H29" s="179"/>
      <c r="I29" s="180"/>
      <c r="J29" s="179"/>
      <c r="K29" s="181"/>
    </row>
    <row r="30" spans="1:11">
      <c r="A30" s="197"/>
      <c r="B30" s="198"/>
      <c r="C30" s="180"/>
      <c r="D30" s="198"/>
      <c r="E30" s="181"/>
      <c r="F30" s="179"/>
      <c r="G30" s="181"/>
      <c r="H30" s="179"/>
      <c r="I30" s="180"/>
      <c r="J30" s="185"/>
      <c r="K30" s="181"/>
    </row>
    <row r="31" spans="1:11">
      <c r="A31" s="197"/>
      <c r="B31" s="198"/>
      <c r="C31" s="180"/>
      <c r="D31" s="198"/>
      <c r="E31" s="181"/>
      <c r="F31" s="179"/>
      <c r="G31" s="181"/>
      <c r="H31" s="179"/>
      <c r="I31" s="180"/>
      <c r="J31" s="179"/>
      <c r="K31" s="181"/>
    </row>
    <row r="32" spans="1:11">
      <c r="A32" s="197"/>
      <c r="B32" s="198"/>
      <c r="C32" s="180"/>
      <c r="D32" s="198"/>
      <c r="E32" s="181"/>
      <c r="F32" s="179"/>
      <c r="G32" s="181"/>
      <c r="H32" s="179"/>
      <c r="I32" s="180"/>
      <c r="J32" s="185"/>
      <c r="K32" s="181"/>
    </row>
    <row r="33" spans="1:11">
      <c r="A33" s="197"/>
      <c r="B33" s="198"/>
      <c r="C33" s="198"/>
      <c r="D33" s="198"/>
      <c r="E33" s="181"/>
      <c r="F33" s="179"/>
      <c r="G33" s="181"/>
      <c r="H33" s="179"/>
      <c r="I33" s="180"/>
      <c r="J33" s="179"/>
      <c r="K33" s="181"/>
    </row>
    <row r="34" spans="1:11">
      <c r="A34" s="197"/>
      <c r="B34" s="198"/>
      <c r="C34" s="180"/>
      <c r="D34" s="198"/>
      <c r="E34" s="181"/>
      <c r="F34" s="179"/>
      <c r="G34" s="181"/>
      <c r="H34" s="179"/>
      <c r="I34" s="180"/>
      <c r="J34" s="185"/>
      <c r="K34" s="181"/>
    </row>
    <row r="35" spans="1:11">
      <c r="A35" s="197"/>
      <c r="B35" s="198"/>
      <c r="C35" s="198"/>
      <c r="D35" s="198"/>
      <c r="E35" s="181"/>
      <c r="F35" s="179"/>
      <c r="G35" s="181"/>
      <c r="H35" s="179"/>
      <c r="I35" s="180"/>
      <c r="J35" s="179"/>
      <c r="K35" s="181"/>
    </row>
    <row r="36" spans="1:11">
      <c r="A36" s="197"/>
      <c r="B36" s="198"/>
      <c r="C36" s="180"/>
      <c r="D36" s="198"/>
      <c r="E36" s="181"/>
      <c r="F36" s="179"/>
      <c r="G36" s="181"/>
      <c r="H36" s="179"/>
      <c r="I36" s="180"/>
      <c r="J36" s="185"/>
      <c r="K36" s="181"/>
    </row>
    <row r="37" spans="1:11">
      <c r="A37" s="197"/>
      <c r="B37" s="198"/>
      <c r="C37" s="180"/>
      <c r="D37" s="198"/>
      <c r="E37" s="181"/>
      <c r="F37" s="179"/>
      <c r="G37" s="181"/>
      <c r="H37" s="179"/>
      <c r="I37" s="180"/>
      <c r="J37" s="179"/>
      <c r="K37" s="181"/>
    </row>
    <row r="38" spans="1:11">
      <c r="A38" s="197"/>
      <c r="B38" s="198"/>
      <c r="C38" s="180"/>
      <c r="D38" s="198"/>
      <c r="E38" s="181"/>
      <c r="F38" s="179"/>
      <c r="G38" s="181"/>
      <c r="H38" s="179"/>
      <c r="I38" s="180"/>
      <c r="J38" s="185"/>
      <c r="K38" s="181"/>
    </row>
    <row r="39" spans="1:11">
      <c r="A39" s="197"/>
      <c r="B39" s="198"/>
      <c r="C39" s="198"/>
      <c r="D39" s="198"/>
      <c r="E39" s="181"/>
      <c r="F39" s="179"/>
      <c r="G39" s="181"/>
      <c r="H39" s="179"/>
      <c r="I39" s="180"/>
      <c r="J39" s="179"/>
      <c r="K39" s="181"/>
    </row>
    <row r="40" spans="1:11">
      <c r="A40" s="197"/>
      <c r="B40" s="198"/>
      <c r="C40" s="180"/>
      <c r="D40" s="198"/>
      <c r="E40" s="181"/>
      <c r="F40" s="179"/>
      <c r="G40" s="181"/>
      <c r="H40" s="179"/>
      <c r="I40" s="180"/>
      <c r="J40" s="185"/>
      <c r="K40" s="181"/>
    </row>
    <row r="41" spans="1:11">
      <c r="A41" s="197"/>
      <c r="B41" s="198"/>
      <c r="C41" s="198"/>
      <c r="D41" s="198"/>
      <c r="E41" s="181"/>
      <c r="F41" s="179"/>
      <c r="G41" s="181"/>
      <c r="H41" s="179"/>
      <c r="I41" s="180"/>
      <c r="J41" s="179"/>
      <c r="K41" s="181"/>
    </row>
    <row r="42" spans="1:11">
      <c r="A42" s="197"/>
      <c r="B42" s="198"/>
      <c r="C42" s="180"/>
      <c r="D42" s="198"/>
      <c r="E42" s="181"/>
      <c r="F42" s="179"/>
      <c r="G42" s="181"/>
      <c r="H42" s="179"/>
      <c r="I42" s="180"/>
      <c r="J42" s="185"/>
      <c r="K42" s="181"/>
    </row>
    <row r="43" spans="1:11">
      <c r="A43" s="197"/>
      <c r="B43" s="198"/>
      <c r="C43" s="180"/>
      <c r="D43" s="198"/>
      <c r="E43" s="181"/>
      <c r="F43" s="179"/>
      <c r="G43" s="181"/>
      <c r="H43" s="179"/>
      <c r="I43" s="180"/>
      <c r="J43" s="179"/>
      <c r="K43" s="181"/>
    </row>
    <row r="44" spans="1:11">
      <c r="A44" s="197"/>
      <c r="B44" s="198"/>
      <c r="C44" s="180"/>
      <c r="D44" s="198"/>
      <c r="E44" s="181"/>
      <c r="F44" s="179"/>
      <c r="G44" s="181"/>
      <c r="H44" s="179"/>
      <c r="I44" s="180"/>
      <c r="J44" s="185"/>
      <c r="K44" s="181"/>
    </row>
    <row r="45" spans="1:11">
      <c r="A45" s="197"/>
      <c r="B45" s="198"/>
      <c r="C45" s="198"/>
      <c r="D45" s="198"/>
      <c r="E45" s="181"/>
      <c r="F45" s="179"/>
      <c r="G45" s="181"/>
      <c r="H45" s="179"/>
      <c r="I45" s="180"/>
      <c r="J45" s="179"/>
      <c r="K45" s="181"/>
    </row>
    <row r="46" spans="1:11">
      <c r="A46" s="197"/>
      <c r="B46" s="198"/>
      <c r="C46" s="180"/>
      <c r="D46" s="198"/>
      <c r="E46" s="181"/>
      <c r="F46" s="179"/>
      <c r="G46" s="181"/>
      <c r="H46" s="179"/>
      <c r="I46" s="180"/>
      <c r="J46" s="185"/>
      <c r="K46" s="181"/>
    </row>
    <row r="47" spans="1:11">
      <c r="A47" s="179"/>
      <c r="B47" s="180"/>
      <c r="C47" s="180"/>
      <c r="D47" s="180"/>
      <c r="E47" s="180"/>
      <c r="F47" s="174"/>
      <c r="G47" s="180"/>
      <c r="H47" s="174"/>
      <c r="I47" s="180"/>
      <c r="J47" s="174"/>
      <c r="K47" s="181"/>
    </row>
    <row r="48" spans="1:11">
      <c r="A48" s="188"/>
      <c r="B48" s="29"/>
      <c r="C48" s="1576" t="s">
        <v>10</v>
      </c>
      <c r="D48" s="1577"/>
      <c r="E48" s="189" t="s">
        <v>18</v>
      </c>
      <c r="F48" s="190" t="s">
        <v>19</v>
      </c>
      <c r="G48" s="191"/>
      <c r="H48" s="191"/>
      <c r="I48" s="191"/>
      <c r="J48" s="191"/>
      <c r="K48" s="192"/>
    </row>
    <row r="49" spans="1:11">
      <c r="A49" s="193" t="s">
        <v>15</v>
      </c>
      <c r="B49" s="188"/>
      <c r="C49" s="1568"/>
      <c r="D49" s="1569"/>
      <c r="E49" s="191"/>
      <c r="F49" s="191"/>
      <c r="G49" s="191"/>
      <c r="H49" s="191"/>
      <c r="I49" s="191"/>
      <c r="J49" s="191"/>
      <c r="K49" s="192"/>
    </row>
    <row r="50" spans="1:11">
      <c r="A50" s="193" t="s">
        <v>16</v>
      </c>
      <c r="B50" s="188"/>
      <c r="C50" s="1568"/>
      <c r="D50" s="1569"/>
      <c r="E50" s="191"/>
      <c r="F50" s="191"/>
      <c r="G50" s="191"/>
      <c r="H50" s="191"/>
      <c r="I50" s="191"/>
      <c r="J50" s="191"/>
      <c r="K50" s="192"/>
    </row>
    <row r="51" spans="1:11">
      <c r="A51" s="193" t="s">
        <v>553</v>
      </c>
      <c r="B51" s="188"/>
      <c r="C51" s="1568"/>
      <c r="D51" s="1569"/>
      <c r="E51" s="191"/>
      <c r="F51" s="191"/>
      <c r="G51" s="191"/>
      <c r="H51" s="191"/>
      <c r="I51" s="191"/>
      <c r="J51" s="191"/>
      <c r="K51" s="192"/>
    </row>
  </sheetData>
  <mergeCells count="13">
    <mergeCell ref="C49:D49"/>
    <mergeCell ref="C50:D50"/>
    <mergeCell ref="C51:D51"/>
    <mergeCell ref="C48:D48"/>
    <mergeCell ref="A1:B1"/>
    <mergeCell ref="C1:E2"/>
    <mergeCell ref="C20:E20"/>
    <mergeCell ref="F2:G2"/>
    <mergeCell ref="H2:I2"/>
    <mergeCell ref="G5:I5"/>
    <mergeCell ref="C18:E18"/>
    <mergeCell ref="C16:E16"/>
    <mergeCell ref="D5:E5"/>
  </mergeCells>
  <pageMargins left="0.7" right="0.7" top="0.75" bottom="0.75" header="0.3" footer="0.3"/>
  <pageSetup paperSize="9" scale="86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08"/>
  <sheetViews>
    <sheetView view="pageBreakPreview" topLeftCell="A88" zoomScale="80" zoomScaleSheetLayoutView="80" workbookViewId="0">
      <selection activeCell="G100" sqref="G100"/>
    </sheetView>
  </sheetViews>
  <sheetFormatPr defaultRowHeight="15"/>
  <cols>
    <col min="1" max="1" width="19" style="168" customWidth="1"/>
    <col min="2" max="2" width="18.7109375" style="168" customWidth="1"/>
    <col min="3" max="3" width="17.140625" style="168" customWidth="1"/>
    <col min="4" max="4" width="14" style="168" customWidth="1"/>
    <col min="5" max="5" width="15" style="168" customWidth="1"/>
    <col min="6" max="6" width="19.140625" style="168" customWidth="1"/>
    <col min="7" max="7" width="15.85546875" style="168" customWidth="1"/>
    <col min="8" max="16384" width="9.140625" style="168"/>
  </cols>
  <sheetData>
    <row r="1" spans="1:7" ht="15.75" thickTop="1">
      <c r="A1" s="1699" t="s">
        <v>1423</v>
      </c>
      <c r="B1" s="1700"/>
      <c r="C1" s="1701" t="s">
        <v>4</v>
      </c>
      <c r="D1" s="1702"/>
      <c r="E1" s="1703"/>
      <c r="F1" s="568" t="s">
        <v>7</v>
      </c>
      <c r="G1" s="569"/>
    </row>
    <row r="2" spans="1:7" ht="15.75" thickBot="1">
      <c r="A2" s="577" t="s">
        <v>76</v>
      </c>
      <c r="B2" s="545"/>
      <c r="C2" s="1704"/>
      <c r="D2" s="1705"/>
      <c r="E2" s="1706"/>
      <c r="F2" s="1707">
        <v>20</v>
      </c>
      <c r="G2" s="1708"/>
    </row>
    <row r="3" spans="1:7" ht="15.75" thickTop="1">
      <c r="A3" s="547" t="s">
        <v>2</v>
      </c>
      <c r="B3" s="548"/>
      <c r="C3" s="549" t="s">
        <v>5</v>
      </c>
      <c r="D3" s="550"/>
      <c r="E3" s="551"/>
      <c r="F3" s="552" t="s">
        <v>9</v>
      </c>
      <c r="G3" s="550"/>
    </row>
    <row r="4" spans="1:7">
      <c r="A4" s="554" t="s">
        <v>490</v>
      </c>
      <c r="B4" s="173"/>
      <c r="C4" s="174"/>
      <c r="D4" s="456">
        <v>2</v>
      </c>
      <c r="E4" s="175"/>
      <c r="F4" s="176" t="s">
        <v>1198</v>
      </c>
      <c r="G4" s="177"/>
    </row>
    <row r="5" spans="1:7">
      <c r="A5" s="556" t="s">
        <v>491</v>
      </c>
      <c r="B5" s="282"/>
      <c r="C5" s="165" t="s">
        <v>6</v>
      </c>
      <c r="D5" s="172"/>
      <c r="E5" s="166"/>
      <c r="F5" s="165" t="s">
        <v>10</v>
      </c>
      <c r="G5" s="172"/>
    </row>
    <row r="6" spans="1:7">
      <c r="A6" s="554">
        <v>16</v>
      </c>
      <c r="B6" s="173"/>
      <c r="C6" s="174"/>
      <c r="D6" s="177" t="s">
        <v>1186</v>
      </c>
      <c r="E6" s="175"/>
      <c r="F6" s="178"/>
      <c r="G6" s="177"/>
    </row>
    <row r="7" spans="1:7">
      <c r="A7" s="558" t="s">
        <v>11</v>
      </c>
      <c r="B7" s="180"/>
      <c r="C7" s="180"/>
      <c r="D7" s="180"/>
      <c r="E7" s="180"/>
      <c r="F7" s="180"/>
      <c r="G7" s="180"/>
    </row>
    <row r="8" spans="1:7">
      <c r="A8" s="560"/>
      <c r="B8" s="183"/>
      <c r="C8" s="172"/>
      <c r="D8" s="172"/>
      <c r="E8" s="166"/>
      <c r="F8" s="184" t="s">
        <v>12</v>
      </c>
      <c r="G8" s="166"/>
    </row>
    <row r="9" spans="1:7" ht="15.75">
      <c r="A9" s="1697" t="s">
        <v>1208</v>
      </c>
      <c r="B9" s="1408"/>
      <c r="C9" s="1408"/>
      <c r="D9" s="1408"/>
      <c r="E9" s="1409"/>
      <c r="F9" s="179"/>
      <c r="G9" s="181"/>
    </row>
    <row r="10" spans="1:7" ht="15.75">
      <c r="A10" s="1698" t="s">
        <v>1391</v>
      </c>
      <c r="B10" s="1627"/>
      <c r="C10" s="1627"/>
      <c r="D10" s="1627"/>
      <c r="E10" s="1628"/>
      <c r="F10" s="179"/>
      <c r="G10" s="180"/>
    </row>
    <row r="11" spans="1:7" ht="15.75">
      <c r="A11" s="1698" t="s">
        <v>1390</v>
      </c>
      <c r="B11" s="1627"/>
      <c r="C11" s="1627"/>
      <c r="D11" s="1627"/>
      <c r="E11" s="1628"/>
      <c r="F11" s="179"/>
      <c r="G11" s="180"/>
    </row>
    <row r="12" spans="1:7" ht="15.75">
      <c r="A12" s="1269" t="s">
        <v>1409</v>
      </c>
      <c r="B12" s="1265"/>
      <c r="C12" s="1265"/>
      <c r="D12" s="1265"/>
      <c r="E12" s="1266"/>
      <c r="F12" s="179"/>
      <c r="G12" s="180"/>
    </row>
    <row r="13" spans="1:7" ht="15.75">
      <c r="A13" s="1269" t="s">
        <v>1410</v>
      </c>
      <c r="B13" s="1265"/>
      <c r="C13" s="1265"/>
      <c r="D13" s="1265"/>
      <c r="E13" s="1266"/>
      <c r="F13" s="179"/>
      <c r="G13" s="180"/>
    </row>
    <row r="14" spans="1:7">
      <c r="A14" s="561" t="s">
        <v>1392</v>
      </c>
      <c r="B14" s="198" t="s">
        <v>1411</v>
      </c>
      <c r="C14" s="198"/>
      <c r="D14" s="198"/>
      <c r="E14" s="181"/>
      <c r="F14" s="179">
        <v>1</v>
      </c>
      <c r="G14" s="180"/>
    </row>
    <row r="15" spans="1:7">
      <c r="B15" s="168" t="s">
        <v>1394</v>
      </c>
      <c r="F15" s="179"/>
      <c r="G15" s="180"/>
    </row>
    <row r="16" spans="1:7">
      <c r="A16" s="561" t="s">
        <v>1414</v>
      </c>
      <c r="B16" s="198" t="s">
        <v>1412</v>
      </c>
      <c r="C16" s="198">
        <v>7.2</v>
      </c>
      <c r="D16" s="198"/>
      <c r="E16" s="181"/>
      <c r="F16" s="179"/>
      <c r="G16" s="180"/>
    </row>
    <row r="17" spans="1:7">
      <c r="A17" s="561"/>
      <c r="B17" s="168" t="s">
        <v>1413</v>
      </c>
      <c r="C17" s="168" t="s">
        <v>1415</v>
      </c>
      <c r="F17" s="179"/>
      <c r="G17" s="180"/>
    </row>
    <row r="18" spans="1:7">
      <c r="A18" s="561" t="s">
        <v>1396</v>
      </c>
      <c r="B18" s="198" t="s">
        <v>1416</v>
      </c>
      <c r="C18" s="198"/>
      <c r="D18" s="198"/>
      <c r="E18" s="181"/>
      <c r="F18" s="179">
        <v>1</v>
      </c>
      <c r="G18" s="180"/>
    </row>
    <row r="19" spans="1:7">
      <c r="B19" s="168" t="s">
        <v>1394</v>
      </c>
      <c r="F19" s="179"/>
      <c r="G19" s="180"/>
    </row>
    <row r="20" spans="1:7">
      <c r="A20" s="561"/>
      <c r="B20" s="198" t="s">
        <v>1417</v>
      </c>
      <c r="C20" s="198"/>
      <c r="D20" s="198"/>
      <c r="E20" s="181"/>
      <c r="F20" s="179"/>
      <c r="G20" s="180"/>
    </row>
    <row r="21" spans="1:7">
      <c r="A21" s="561"/>
      <c r="B21" s="1599" t="s">
        <v>1418</v>
      </c>
      <c r="C21" s="1599"/>
      <c r="D21" s="1599"/>
      <c r="E21" s="1600"/>
      <c r="F21" s="179"/>
      <c r="G21" s="181"/>
    </row>
    <row r="22" spans="1:7">
      <c r="A22" s="561" t="s">
        <v>1397</v>
      </c>
      <c r="B22" s="198" t="s">
        <v>1393</v>
      </c>
      <c r="C22" s="198"/>
      <c r="D22" s="198"/>
      <c r="E22" s="181"/>
      <c r="F22" s="179">
        <v>1</v>
      </c>
      <c r="G22" s="180"/>
    </row>
    <row r="23" spans="1:7">
      <c r="B23" s="168" t="s">
        <v>1394</v>
      </c>
      <c r="F23" s="179"/>
      <c r="G23" s="180"/>
    </row>
    <row r="24" spans="1:7">
      <c r="A24" s="561"/>
      <c r="B24" s="198" t="s">
        <v>1395</v>
      </c>
      <c r="C24" s="198"/>
      <c r="D24" s="198"/>
      <c r="E24" s="181"/>
      <c r="F24" s="179"/>
      <c r="G24" s="180"/>
    </row>
    <row r="25" spans="1:7">
      <c r="A25" s="561"/>
      <c r="B25" s="1599"/>
      <c r="C25" s="1599"/>
      <c r="D25" s="1599"/>
      <c r="E25" s="1600"/>
      <c r="F25" s="179"/>
      <c r="G25" s="181"/>
    </row>
    <row r="26" spans="1:7">
      <c r="A26" s="561" t="s">
        <v>1398</v>
      </c>
      <c r="B26" s="198" t="s">
        <v>1393</v>
      </c>
      <c r="C26" s="198"/>
      <c r="D26" s="198"/>
      <c r="E26" s="181"/>
      <c r="F26" s="179">
        <v>1</v>
      </c>
      <c r="G26" s="180"/>
    </row>
    <row r="27" spans="1:7">
      <c r="B27" s="168" t="s">
        <v>1394</v>
      </c>
      <c r="F27" s="179"/>
      <c r="G27" s="180"/>
    </row>
    <row r="28" spans="1:7">
      <c r="A28" s="561"/>
      <c r="B28" s="198" t="s">
        <v>1395</v>
      </c>
      <c r="C28" s="198"/>
      <c r="D28" s="198"/>
      <c r="E28" s="181"/>
      <c r="F28" s="179"/>
      <c r="G28" s="180"/>
    </row>
    <row r="29" spans="1:7">
      <c r="A29" s="562"/>
      <c r="B29" s="196"/>
      <c r="C29" s="1624"/>
      <c r="D29" s="1624"/>
      <c r="E29" s="1625"/>
      <c r="F29" s="179"/>
      <c r="G29" s="180"/>
    </row>
    <row r="30" spans="1:7">
      <c r="A30" s="561" t="s">
        <v>1399</v>
      </c>
      <c r="B30" s="198" t="s">
        <v>1393</v>
      </c>
      <c r="C30" s="198"/>
      <c r="D30" s="198"/>
      <c r="E30" s="181"/>
      <c r="F30" s="179">
        <v>1</v>
      </c>
      <c r="G30" s="180"/>
    </row>
    <row r="31" spans="1:7">
      <c r="B31" s="168" t="s">
        <v>1394</v>
      </c>
      <c r="F31" s="179"/>
      <c r="G31" s="180"/>
    </row>
    <row r="32" spans="1:7">
      <c r="A32" s="561"/>
      <c r="B32" s="198" t="s">
        <v>1395</v>
      </c>
      <c r="C32" s="198"/>
      <c r="D32" s="198"/>
      <c r="E32" s="181"/>
      <c r="F32" s="179"/>
      <c r="G32" s="180"/>
    </row>
    <row r="33" spans="1:7">
      <c r="A33" s="562"/>
      <c r="B33" s="196"/>
      <c r="C33" s="196"/>
      <c r="D33" s="196"/>
      <c r="E33" s="181"/>
      <c r="F33" s="179"/>
      <c r="G33" s="180"/>
    </row>
    <row r="34" spans="1:7">
      <c r="A34" s="561" t="s">
        <v>1400</v>
      </c>
      <c r="B34" s="198" t="s">
        <v>1393</v>
      </c>
      <c r="C34" s="198"/>
      <c r="D34" s="198"/>
      <c r="E34" s="181"/>
      <c r="F34" s="179">
        <v>1</v>
      </c>
      <c r="G34" s="180"/>
    </row>
    <row r="35" spans="1:7">
      <c r="B35" s="168" t="s">
        <v>1394</v>
      </c>
      <c r="F35" s="179"/>
      <c r="G35" s="180"/>
    </row>
    <row r="36" spans="1:7">
      <c r="A36" s="561"/>
      <c r="B36" s="198" t="s">
        <v>1395</v>
      </c>
      <c r="C36" s="198"/>
      <c r="D36" s="198"/>
      <c r="E36" s="181"/>
      <c r="F36" s="179"/>
      <c r="G36" s="180"/>
    </row>
    <row r="37" spans="1:7">
      <c r="A37" s="562"/>
      <c r="B37" s="196"/>
      <c r="C37" s="196"/>
      <c r="D37" s="196"/>
      <c r="E37" s="181"/>
      <c r="F37" s="179"/>
      <c r="G37" s="180"/>
    </row>
    <row r="38" spans="1:7">
      <c r="A38" s="561" t="s">
        <v>1401</v>
      </c>
      <c r="B38" s="198" t="s">
        <v>1393</v>
      </c>
      <c r="C38" s="198"/>
      <c r="D38" s="198"/>
      <c r="E38" s="181"/>
      <c r="F38" s="179">
        <v>1</v>
      </c>
      <c r="G38" s="180"/>
    </row>
    <row r="39" spans="1:7">
      <c r="B39" s="168" t="s">
        <v>1394</v>
      </c>
      <c r="F39" s="179"/>
      <c r="G39" s="180"/>
    </row>
    <row r="40" spans="1:7">
      <c r="A40" s="561"/>
      <c r="B40" s="198" t="s">
        <v>1395</v>
      </c>
      <c r="C40" s="198"/>
      <c r="D40" s="198"/>
      <c r="E40" s="181"/>
      <c r="F40" s="179"/>
      <c r="G40" s="180"/>
    </row>
    <row r="41" spans="1:7">
      <c r="A41" s="562"/>
      <c r="B41" s="1624"/>
      <c r="C41" s="1624"/>
      <c r="D41" s="1624"/>
      <c r="E41" s="1625"/>
      <c r="F41" s="179"/>
      <c r="G41" s="180"/>
    </row>
    <row r="42" spans="1:7">
      <c r="A42" s="561" t="s">
        <v>1402</v>
      </c>
      <c r="B42" s="198" t="s">
        <v>1393</v>
      </c>
      <c r="C42" s="198"/>
      <c r="D42" s="198"/>
      <c r="E42" s="181"/>
      <c r="F42" s="179">
        <v>1</v>
      </c>
      <c r="G42" s="180"/>
    </row>
    <row r="43" spans="1:7">
      <c r="B43" s="168" t="s">
        <v>1394</v>
      </c>
      <c r="F43" s="179"/>
      <c r="G43" s="180"/>
    </row>
    <row r="44" spans="1:7">
      <c r="A44" s="561"/>
      <c r="B44" s="198" t="s">
        <v>1395</v>
      </c>
      <c r="C44" s="198"/>
      <c r="D44" s="198"/>
      <c r="E44" s="181"/>
      <c r="F44" s="179"/>
      <c r="G44" s="180"/>
    </row>
    <row r="45" spans="1:7">
      <c r="A45" s="562"/>
      <c r="B45" s="196"/>
      <c r="C45" s="196"/>
      <c r="D45" s="196"/>
      <c r="E45" s="181"/>
      <c r="F45" s="179"/>
      <c r="G45" s="181"/>
    </row>
    <row r="46" spans="1:7">
      <c r="A46" s="561" t="s">
        <v>1403</v>
      </c>
      <c r="B46" s="198" t="s">
        <v>1393</v>
      </c>
      <c r="C46" s="198"/>
      <c r="D46" s="198"/>
      <c r="E46" s="181"/>
      <c r="F46" s="179">
        <v>1</v>
      </c>
      <c r="G46" s="180"/>
    </row>
    <row r="47" spans="1:7">
      <c r="B47" s="168" t="s">
        <v>1394</v>
      </c>
      <c r="F47" s="179"/>
      <c r="G47" s="180"/>
    </row>
    <row r="48" spans="1:7">
      <c r="A48" s="561"/>
      <c r="B48" s="198" t="s">
        <v>1395</v>
      </c>
      <c r="C48" s="198"/>
      <c r="D48" s="198"/>
      <c r="E48" s="181"/>
      <c r="F48" s="179"/>
      <c r="G48" s="180"/>
    </row>
    <row r="49" spans="1:7">
      <c r="A49" s="561"/>
      <c r="B49" s="198"/>
      <c r="C49" s="198"/>
      <c r="D49" s="198"/>
      <c r="E49" s="181"/>
      <c r="F49" s="180"/>
      <c r="G49" s="181"/>
    </row>
    <row r="50" spans="1:7">
      <c r="A50" s="561" t="s">
        <v>1404</v>
      </c>
      <c r="B50" s="198" t="s">
        <v>1393</v>
      </c>
      <c r="C50" s="198"/>
      <c r="D50" s="198"/>
      <c r="E50" s="181"/>
      <c r="F50" s="179">
        <v>1</v>
      </c>
      <c r="G50" s="180"/>
    </row>
    <row r="51" spans="1:7">
      <c r="B51" s="168" t="s">
        <v>1394</v>
      </c>
      <c r="F51" s="179"/>
      <c r="G51" s="180"/>
    </row>
    <row r="52" spans="1:7">
      <c r="A52" s="561"/>
      <c r="B52" s="198" t="s">
        <v>1395</v>
      </c>
      <c r="C52" s="198"/>
      <c r="D52" s="198"/>
      <c r="E52" s="181"/>
      <c r="F52" s="179"/>
      <c r="G52" s="180"/>
    </row>
    <row r="53" spans="1:7">
      <c r="A53" s="561"/>
      <c r="B53" s="198"/>
      <c r="C53" s="198"/>
      <c r="D53" s="198"/>
      <c r="E53" s="181"/>
      <c r="F53" s="180"/>
      <c r="G53" s="181"/>
    </row>
    <row r="54" spans="1:7">
      <c r="A54" s="561" t="s">
        <v>1405</v>
      </c>
      <c r="B54" s="198" t="s">
        <v>1393</v>
      </c>
      <c r="C54" s="198"/>
      <c r="D54" s="198"/>
      <c r="E54" s="181"/>
      <c r="F54" s="179">
        <v>1</v>
      </c>
      <c r="G54" s="181"/>
    </row>
    <row r="55" spans="1:7">
      <c r="B55" s="168" t="s">
        <v>1394</v>
      </c>
      <c r="F55" s="179"/>
      <c r="G55" s="180"/>
    </row>
    <row r="56" spans="1:7">
      <c r="A56" s="561"/>
      <c r="B56" s="198" t="s">
        <v>1395</v>
      </c>
      <c r="C56" s="198"/>
      <c r="D56" s="198"/>
      <c r="E56" s="181"/>
      <c r="F56" s="179"/>
      <c r="G56" s="180"/>
    </row>
    <row r="57" spans="1:7">
      <c r="A57" s="561"/>
      <c r="B57" s="198"/>
      <c r="C57" s="198"/>
      <c r="D57" s="198"/>
      <c r="E57" s="181"/>
      <c r="F57" s="180"/>
      <c r="G57" s="181"/>
    </row>
    <row r="58" spans="1:7">
      <c r="A58" s="561" t="s">
        <v>1406</v>
      </c>
      <c r="B58" s="198" t="s">
        <v>1393</v>
      </c>
      <c r="C58" s="198"/>
      <c r="D58" s="198"/>
      <c r="E58" s="181"/>
      <c r="F58" s="180">
        <v>1</v>
      </c>
      <c r="G58" s="180"/>
    </row>
    <row r="59" spans="1:7">
      <c r="B59" s="168" t="s">
        <v>1394</v>
      </c>
      <c r="F59" s="179"/>
      <c r="G59" s="180"/>
    </row>
    <row r="60" spans="1:7">
      <c r="A60" s="561"/>
      <c r="B60" s="198" t="s">
        <v>1395</v>
      </c>
      <c r="C60" s="198"/>
      <c r="D60" s="198"/>
      <c r="E60" s="181"/>
      <c r="F60" s="179"/>
      <c r="G60" s="180"/>
    </row>
    <row r="61" spans="1:7">
      <c r="A61" s="561"/>
      <c r="B61" s="198" t="s">
        <v>1407</v>
      </c>
      <c r="C61" s="198"/>
      <c r="D61" s="198"/>
      <c r="E61" s="181"/>
      <c r="F61" s="180"/>
      <c r="G61" s="180"/>
    </row>
    <row r="62" spans="1:7">
      <c r="A62" s="561"/>
      <c r="B62" s="198"/>
      <c r="C62" s="198"/>
      <c r="D62" s="198"/>
      <c r="E62" s="175"/>
      <c r="F62" s="180"/>
      <c r="G62" s="180"/>
    </row>
    <row r="63" spans="1:7" ht="25.5" customHeight="1">
      <c r="A63" s="543"/>
      <c r="B63" s="189" t="s">
        <v>10</v>
      </c>
      <c r="C63" s="189" t="s">
        <v>18</v>
      </c>
      <c r="D63" s="190" t="s">
        <v>19</v>
      </c>
      <c r="E63" s="191"/>
      <c r="F63" s="191"/>
      <c r="G63" s="191"/>
    </row>
    <row r="64" spans="1:7" ht="25.5" customHeight="1">
      <c r="A64" s="544" t="s">
        <v>15</v>
      </c>
      <c r="B64" s="188"/>
      <c r="C64" s="188"/>
      <c r="D64" s="194"/>
      <c r="E64" s="191"/>
      <c r="F64" s="191"/>
      <c r="G64" s="191"/>
    </row>
    <row r="65" spans="1:7" ht="25.5" customHeight="1">
      <c r="A65" s="544" t="s">
        <v>16</v>
      </c>
      <c r="B65" s="194"/>
      <c r="C65" s="188"/>
      <c r="D65" s="194"/>
      <c r="E65" s="191"/>
      <c r="F65" s="191"/>
      <c r="G65" s="191"/>
    </row>
    <row r="66" spans="1:7" ht="20.25" customHeight="1" thickBot="1">
      <c r="A66" s="572" t="s">
        <v>553</v>
      </c>
      <c r="B66" s="567"/>
      <c r="C66" s="476"/>
      <c r="D66" s="579"/>
      <c r="E66" s="567"/>
      <c r="F66" s="567"/>
      <c r="G66" s="567"/>
    </row>
    <row r="67" spans="1:7" ht="20.25" customHeight="1" thickTop="1">
      <c r="A67" s="1268"/>
      <c r="B67" s="542"/>
      <c r="C67" s="214"/>
      <c r="D67" s="542"/>
      <c r="E67" s="542"/>
      <c r="F67" s="542"/>
      <c r="G67" s="542"/>
    </row>
    <row r="68" spans="1:7" ht="20.25" customHeight="1">
      <c r="A68" s="1268"/>
      <c r="B68" s="542"/>
      <c r="C68" s="214"/>
      <c r="D68" s="542"/>
      <c r="E68" s="542"/>
      <c r="F68" s="542"/>
      <c r="G68" s="542"/>
    </row>
    <row r="69" spans="1:7" ht="20.25" customHeight="1">
      <c r="A69" s="1268"/>
      <c r="B69" s="542"/>
      <c r="C69" s="214"/>
      <c r="D69" s="542"/>
      <c r="E69" s="542"/>
      <c r="F69" s="542"/>
      <c r="G69" s="542"/>
    </row>
    <row r="70" spans="1:7" ht="20.25" customHeight="1">
      <c r="A70" s="1268"/>
      <c r="B70" s="542"/>
      <c r="C70" s="214"/>
      <c r="D70" s="542"/>
      <c r="E70" s="542"/>
      <c r="F70" s="542"/>
      <c r="G70" s="542"/>
    </row>
    <row r="71" spans="1:7" ht="20.25" customHeight="1">
      <c r="A71" s="1268"/>
      <c r="B71" s="542"/>
      <c r="C71" s="214"/>
      <c r="D71" s="542"/>
      <c r="E71" s="542"/>
      <c r="F71" s="542"/>
      <c r="G71" s="542"/>
    </row>
    <row r="72" spans="1:7" ht="20.25" customHeight="1">
      <c r="A72" s="1268"/>
      <c r="B72" s="542"/>
      <c r="C72" s="214"/>
      <c r="D72" s="542"/>
      <c r="E72" s="542"/>
      <c r="F72" s="542"/>
      <c r="G72" s="542"/>
    </row>
    <row r="73" spans="1:7" ht="20.25" customHeight="1">
      <c r="A73" s="1268"/>
      <c r="B73" s="542"/>
      <c r="C73" s="214"/>
      <c r="D73" s="542"/>
      <c r="E73" s="542"/>
      <c r="F73" s="542"/>
      <c r="G73" s="542"/>
    </row>
    <row r="74" spans="1:7" ht="20.25" customHeight="1" thickBot="1">
      <c r="A74" s="1268"/>
      <c r="B74" s="542"/>
      <c r="C74" s="214"/>
      <c r="D74" s="542"/>
      <c r="E74" s="542"/>
      <c r="F74" s="542"/>
      <c r="G74" s="542"/>
    </row>
    <row r="75" spans="1:7" ht="20.25" customHeight="1" thickTop="1">
      <c r="A75" s="1709"/>
      <c r="B75" s="1710"/>
      <c r="C75" s="1710"/>
      <c r="D75" s="1710"/>
      <c r="E75" s="1710"/>
      <c r="F75" s="1711"/>
      <c r="G75" s="1270"/>
    </row>
    <row r="76" spans="1:7" ht="20.25" customHeight="1">
      <c r="A76" s="1280"/>
      <c r="B76" s="1281"/>
      <c r="C76" s="1281"/>
      <c r="D76" s="1281"/>
      <c r="E76" s="1281"/>
      <c r="F76" s="1282"/>
      <c r="G76" s="1270"/>
    </row>
    <row r="77" spans="1:7" ht="20.25" customHeight="1" thickBot="1">
      <c r="A77" s="1280"/>
      <c r="B77" s="1281"/>
      <c r="C77" s="1281"/>
      <c r="D77" s="1281"/>
      <c r="E77" s="1281"/>
      <c r="F77" s="1282"/>
      <c r="G77" s="1270"/>
    </row>
    <row r="78" spans="1:7" ht="20.25" customHeight="1" thickTop="1">
      <c r="A78" s="1699" t="s">
        <v>1423</v>
      </c>
      <c r="B78" s="1700"/>
      <c r="C78" s="1701" t="s">
        <v>4</v>
      </c>
      <c r="D78" s="1702"/>
      <c r="E78" s="1703"/>
      <c r="F78" s="568" t="s">
        <v>7</v>
      </c>
      <c r="G78" s="569"/>
    </row>
    <row r="79" spans="1:7" ht="20.25" customHeight="1" thickBot="1">
      <c r="A79" s="577" t="s">
        <v>76</v>
      </c>
      <c r="B79" s="545"/>
      <c r="C79" s="1704"/>
      <c r="D79" s="1705"/>
      <c r="E79" s="1706"/>
      <c r="F79" s="1707">
        <v>20</v>
      </c>
      <c r="G79" s="1708"/>
    </row>
    <row r="80" spans="1:7" ht="20.25" customHeight="1" thickTop="1">
      <c r="A80" s="547" t="s">
        <v>2</v>
      </c>
      <c r="B80" s="548"/>
      <c r="C80" s="549" t="s">
        <v>5</v>
      </c>
      <c r="D80" s="550"/>
      <c r="E80" s="551"/>
      <c r="F80" s="552" t="s">
        <v>9</v>
      </c>
      <c r="G80" s="550"/>
    </row>
    <row r="81" spans="1:7" ht="20.25" customHeight="1">
      <c r="A81" s="554" t="s">
        <v>490</v>
      </c>
      <c r="B81" s="173"/>
      <c r="C81" s="174"/>
      <c r="D81" s="456">
        <v>2</v>
      </c>
      <c r="E81" s="175"/>
      <c r="F81" s="176" t="s">
        <v>1424</v>
      </c>
      <c r="G81" s="177"/>
    </row>
    <row r="82" spans="1:7" ht="20.25" customHeight="1">
      <c r="A82" s="556" t="s">
        <v>491</v>
      </c>
      <c r="B82" s="282"/>
      <c r="C82" s="165" t="s">
        <v>6</v>
      </c>
      <c r="D82" s="172"/>
      <c r="E82" s="166"/>
      <c r="F82" s="165" t="s">
        <v>10</v>
      </c>
      <c r="G82" s="172"/>
    </row>
    <row r="83" spans="1:7" ht="20.25" customHeight="1">
      <c r="A83" s="554">
        <v>16</v>
      </c>
      <c r="B83" s="173"/>
      <c r="C83" s="174"/>
      <c r="D83" s="177" t="s">
        <v>1186</v>
      </c>
      <c r="E83" s="175"/>
      <c r="F83" s="178"/>
      <c r="G83" s="177"/>
    </row>
    <row r="84" spans="1:7" ht="20.25" customHeight="1">
      <c r="A84" s="558" t="s">
        <v>11</v>
      </c>
      <c r="B84" s="180"/>
      <c r="C84" s="180"/>
      <c r="D84" s="180"/>
      <c r="E84" s="180"/>
      <c r="F84" s="180"/>
      <c r="G84" s="180"/>
    </row>
    <row r="85" spans="1:7" ht="20.25" customHeight="1">
      <c r="A85" s="1283"/>
      <c r="B85" s="180"/>
      <c r="C85" s="180"/>
      <c r="D85" s="180"/>
      <c r="E85" s="180"/>
      <c r="F85" s="180"/>
      <c r="G85" s="180"/>
    </row>
    <row r="86" spans="1:7" ht="15.75">
      <c r="A86" s="1697" t="s">
        <v>1208</v>
      </c>
      <c r="B86" s="1408"/>
      <c r="C86" s="1408"/>
      <c r="D86" s="1408"/>
      <c r="E86" s="1409"/>
      <c r="F86" s="179"/>
      <c r="G86" s="181"/>
    </row>
    <row r="87" spans="1:7" ht="15.75">
      <c r="A87" s="1698" t="s">
        <v>1391</v>
      </c>
      <c r="B87" s="1627"/>
      <c r="C87" s="1627"/>
      <c r="D87" s="1627"/>
      <c r="E87" s="1628"/>
      <c r="F87" s="179"/>
      <c r="G87" s="180"/>
    </row>
    <row r="88" spans="1:7" ht="16.5" thickBot="1">
      <c r="A88" s="1698" t="s">
        <v>1390</v>
      </c>
      <c r="B88" s="1627"/>
      <c r="C88" s="1627"/>
      <c r="D88" s="1627"/>
      <c r="E88" s="1628"/>
      <c r="F88" s="179"/>
      <c r="G88" s="180"/>
    </row>
    <row r="89" spans="1:7" ht="45" customHeight="1" thickTop="1">
      <c r="A89" s="1271" t="s">
        <v>1419</v>
      </c>
      <c r="B89" s="1272" t="s">
        <v>1425</v>
      </c>
      <c r="C89" s="1272" t="s">
        <v>1426</v>
      </c>
      <c r="D89" s="1272" t="s">
        <v>1427</v>
      </c>
      <c r="E89" s="1272" t="s">
        <v>1420</v>
      </c>
      <c r="F89" s="1273" t="s">
        <v>1421</v>
      </c>
      <c r="G89" s="1270"/>
    </row>
    <row r="90" spans="1:7" ht="20.25" customHeight="1">
      <c r="A90" s="1274">
        <v>0</v>
      </c>
      <c r="B90" s="1275">
        <v>9</v>
      </c>
      <c r="C90" s="1275">
        <v>0.61</v>
      </c>
      <c r="D90" s="1275">
        <f>4*C90+B90</f>
        <v>11.44</v>
      </c>
      <c r="E90" s="1275">
        <f>C90*(2*C90+B90)</f>
        <v>6.2342000000000004</v>
      </c>
      <c r="F90" s="1276">
        <v>0</v>
      </c>
      <c r="G90" s="1270"/>
    </row>
    <row r="91" spans="1:7" ht="20.25" customHeight="1">
      <c r="A91" s="1277">
        <v>20</v>
      </c>
      <c r="B91" s="1275">
        <v>9</v>
      </c>
      <c r="C91" s="1275">
        <v>1.6</v>
      </c>
      <c r="D91" s="1275">
        <f>4*C91+B91</f>
        <v>15.4</v>
      </c>
      <c r="E91" s="1275">
        <f>C91*(2*C91+B91)</f>
        <v>19.52</v>
      </c>
      <c r="F91" s="1278">
        <f>((E90+E91)/2)*(A91-A90)</f>
        <v>257.54200000000003</v>
      </c>
      <c r="G91" s="1270"/>
    </row>
    <row r="92" spans="1:7" ht="20.25" customHeight="1">
      <c r="A92" s="1277">
        <v>40</v>
      </c>
      <c r="B92" s="1275">
        <v>9</v>
      </c>
      <c r="C92" s="1275">
        <v>1.86</v>
      </c>
      <c r="D92" s="1275">
        <f t="shared" ref="D92:D100" si="0">4*C92+B92</f>
        <v>16.440000000000001</v>
      </c>
      <c r="E92" s="1275">
        <f t="shared" ref="E92:E100" si="1">C92*(2*C92+B92)</f>
        <v>23.659200000000002</v>
      </c>
      <c r="F92" s="1278">
        <f t="shared" ref="F92:F101" si="2">((E91+E92)/2)*(A92-A91)</f>
        <v>431.79200000000003</v>
      </c>
      <c r="G92" s="1270"/>
    </row>
    <row r="93" spans="1:7" ht="20.25" customHeight="1">
      <c r="A93" s="1277">
        <v>60</v>
      </c>
      <c r="B93" s="1275">
        <v>9</v>
      </c>
      <c r="C93" s="1275">
        <v>1.49</v>
      </c>
      <c r="D93" s="1275">
        <f t="shared" si="0"/>
        <v>14.96</v>
      </c>
      <c r="E93" s="1275">
        <f t="shared" si="1"/>
        <v>17.850200000000001</v>
      </c>
      <c r="F93" s="1278">
        <f t="shared" si="2"/>
        <v>415.09399999999999</v>
      </c>
      <c r="G93" s="1270"/>
    </row>
    <row r="94" spans="1:7" ht="20.25" customHeight="1">
      <c r="A94" s="1277">
        <v>80</v>
      </c>
      <c r="B94" s="1275">
        <v>9</v>
      </c>
      <c r="C94" s="1275">
        <v>1.45</v>
      </c>
      <c r="D94" s="1275">
        <f t="shared" si="0"/>
        <v>14.8</v>
      </c>
      <c r="E94" s="1275">
        <f t="shared" si="1"/>
        <v>17.254999999999999</v>
      </c>
      <c r="F94" s="1278">
        <f t="shared" si="2"/>
        <v>351.05199999999996</v>
      </c>
      <c r="G94" s="1270"/>
    </row>
    <row r="95" spans="1:7" ht="20.25" customHeight="1">
      <c r="A95" s="1277">
        <v>100</v>
      </c>
      <c r="B95" s="1275">
        <v>9</v>
      </c>
      <c r="C95" s="1275">
        <v>1.55</v>
      </c>
      <c r="D95" s="1275">
        <f t="shared" si="0"/>
        <v>15.2</v>
      </c>
      <c r="E95" s="1275">
        <f t="shared" si="1"/>
        <v>18.754999999999999</v>
      </c>
      <c r="F95" s="1278">
        <f t="shared" si="2"/>
        <v>360.09999999999997</v>
      </c>
      <c r="G95" s="1270"/>
    </row>
    <row r="96" spans="1:7" ht="20.25" customHeight="1">
      <c r="A96" s="1277">
        <v>120</v>
      </c>
      <c r="B96" s="1275">
        <v>9</v>
      </c>
      <c r="C96" s="1275">
        <v>1.76</v>
      </c>
      <c r="D96" s="1275">
        <f t="shared" si="0"/>
        <v>16.04</v>
      </c>
      <c r="E96" s="1275">
        <f t="shared" si="1"/>
        <v>22.0352</v>
      </c>
      <c r="F96" s="1278">
        <f t="shared" si="2"/>
        <v>407.90199999999999</v>
      </c>
      <c r="G96" s="1270"/>
    </row>
    <row r="97" spans="1:7" ht="20.25" customHeight="1">
      <c r="A97" s="1277">
        <v>140</v>
      </c>
      <c r="B97" s="1275">
        <v>9</v>
      </c>
      <c r="C97" s="1275">
        <v>1.28</v>
      </c>
      <c r="D97" s="1275">
        <f t="shared" si="0"/>
        <v>14.120000000000001</v>
      </c>
      <c r="E97" s="1275">
        <f t="shared" si="1"/>
        <v>14.796800000000001</v>
      </c>
      <c r="F97" s="1278">
        <f t="shared" si="2"/>
        <v>368.32</v>
      </c>
      <c r="G97" s="1270"/>
    </row>
    <row r="98" spans="1:7" ht="20.25" customHeight="1">
      <c r="A98" s="1277">
        <v>160</v>
      </c>
      <c r="B98" s="1275">
        <v>9</v>
      </c>
      <c r="C98" s="1275">
        <v>2.7</v>
      </c>
      <c r="D98" s="1275">
        <f t="shared" si="0"/>
        <v>19.8</v>
      </c>
      <c r="E98" s="1275">
        <f t="shared" si="1"/>
        <v>38.880000000000003</v>
      </c>
      <c r="F98" s="1278">
        <f t="shared" si="2"/>
        <v>536.76800000000003</v>
      </c>
      <c r="G98" s="1270"/>
    </row>
    <row r="99" spans="1:7" ht="20.25" customHeight="1">
      <c r="A99" s="1277">
        <v>180</v>
      </c>
      <c r="B99" s="1275">
        <v>9</v>
      </c>
      <c r="C99" s="1275">
        <v>3.12</v>
      </c>
      <c r="D99" s="1275">
        <f t="shared" si="0"/>
        <v>21.48</v>
      </c>
      <c r="E99" s="1275">
        <f t="shared" si="1"/>
        <v>47.5488</v>
      </c>
      <c r="F99" s="1278">
        <f t="shared" si="2"/>
        <v>864.28800000000001</v>
      </c>
      <c r="G99" s="1270"/>
    </row>
    <row r="100" spans="1:7" ht="20.25" customHeight="1">
      <c r="A100" s="1277">
        <v>200</v>
      </c>
      <c r="B100" s="1275">
        <v>9</v>
      </c>
      <c r="C100" s="1275">
        <v>2.58</v>
      </c>
      <c r="D100" s="1275">
        <f t="shared" si="0"/>
        <v>19.32</v>
      </c>
      <c r="E100" s="1275">
        <f t="shared" si="1"/>
        <v>36.532800000000002</v>
      </c>
      <c r="F100" s="1278">
        <f t="shared" si="2"/>
        <v>840.81600000000003</v>
      </c>
      <c r="G100" s="1270"/>
    </row>
    <row r="101" spans="1:7" ht="20.25" customHeight="1" thickBot="1">
      <c r="A101" s="1277">
        <v>220</v>
      </c>
      <c r="B101" s="1275">
        <v>9</v>
      </c>
      <c r="C101" s="1275">
        <v>0.7</v>
      </c>
      <c r="D101" s="1275">
        <f>4*C101+B101</f>
        <v>11.8</v>
      </c>
      <c r="E101" s="1275">
        <f>C101*(2*C101+B101)</f>
        <v>7.2799999999999994</v>
      </c>
      <c r="F101" s="1278">
        <f t="shared" si="2"/>
        <v>438.12800000000004</v>
      </c>
      <c r="G101" s="1270"/>
    </row>
    <row r="102" spans="1:7" ht="20.25" customHeight="1" thickBot="1">
      <c r="A102" s="1694" t="s">
        <v>1422</v>
      </c>
      <c r="B102" s="1695"/>
      <c r="C102" s="1695"/>
      <c r="D102" s="1695"/>
      <c r="E102" s="1696"/>
      <c r="F102" s="1279">
        <f>SUM(F91:F101)</f>
        <v>5271.8019999999997</v>
      </c>
      <c r="G102" s="1270"/>
    </row>
    <row r="103" spans="1:7" ht="20.25" customHeight="1">
      <c r="A103" s="1284"/>
      <c r="B103" s="1285"/>
      <c r="C103" s="1285"/>
      <c r="D103" s="1285"/>
      <c r="E103" s="1285"/>
      <c r="F103" s="1286"/>
      <c r="G103" s="1270"/>
    </row>
    <row r="104" spans="1:7" ht="25.5" customHeight="1">
      <c r="A104" s="543"/>
      <c r="B104" s="189" t="s">
        <v>10</v>
      </c>
      <c r="C104" s="189" t="s">
        <v>18</v>
      </c>
      <c r="D104" s="190" t="s">
        <v>19</v>
      </c>
      <c r="E104" s="191"/>
      <c r="F104" s="191"/>
      <c r="G104" s="191"/>
    </row>
    <row r="105" spans="1:7" ht="25.5" customHeight="1">
      <c r="A105" s="544" t="s">
        <v>15</v>
      </c>
      <c r="B105" s="188"/>
      <c r="C105" s="188"/>
      <c r="D105" s="194"/>
      <c r="E105" s="191"/>
      <c r="F105" s="191"/>
      <c r="G105" s="191"/>
    </row>
    <row r="106" spans="1:7" ht="25.5" customHeight="1">
      <c r="A106" s="544" t="s">
        <v>16</v>
      </c>
      <c r="B106" s="194"/>
      <c r="C106" s="188"/>
      <c r="D106" s="194"/>
      <c r="E106" s="191"/>
      <c r="F106" s="191"/>
      <c r="G106" s="191"/>
    </row>
    <row r="107" spans="1:7" ht="20.25" customHeight="1" thickBot="1">
      <c r="A107" s="572" t="s">
        <v>553</v>
      </c>
      <c r="B107" s="567"/>
      <c r="C107" s="476"/>
      <c r="D107" s="579"/>
      <c r="E107" s="567"/>
      <c r="F107" s="567"/>
      <c r="G107" s="567"/>
    </row>
    <row r="108" spans="1:7" ht="15.75" thickTop="1"/>
  </sheetData>
  <mergeCells count="18">
    <mergeCell ref="A9:E9"/>
    <mergeCell ref="A10:E10"/>
    <mergeCell ref="F2:G2"/>
    <mergeCell ref="A11:E11"/>
    <mergeCell ref="A1:B1"/>
    <mergeCell ref="C1:E2"/>
    <mergeCell ref="F79:G79"/>
    <mergeCell ref="B41:E41"/>
    <mergeCell ref="B21:E21"/>
    <mergeCell ref="B25:E25"/>
    <mergeCell ref="C29:E29"/>
    <mergeCell ref="A75:F75"/>
    <mergeCell ref="A102:E102"/>
    <mergeCell ref="A86:E86"/>
    <mergeCell ref="A87:E87"/>
    <mergeCell ref="A88:E88"/>
    <mergeCell ref="A78:B78"/>
    <mergeCell ref="C78:E79"/>
  </mergeCells>
  <printOptions horizontalCentered="1" verticalCentered="1"/>
  <pageMargins left="0" right="0" top="0" bottom="0" header="0.3" footer="0.3"/>
  <pageSetup paperSize="9" scale="70" fitToHeight="6" orientation="portrait" r:id="rId1"/>
  <rowBreaks count="1" manualBreakCount="1">
    <brk id="74" max="6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dimension ref="A1:M258"/>
  <sheetViews>
    <sheetView view="pageBreakPreview" zoomScale="91" zoomScaleSheetLayoutView="91" workbookViewId="0">
      <selection activeCell="B23" sqref="B23"/>
    </sheetView>
  </sheetViews>
  <sheetFormatPr defaultRowHeight="15"/>
  <cols>
    <col min="1" max="1" width="9.140625" style="228"/>
    <col min="2" max="2" width="10" style="228" customWidth="1"/>
    <col min="3" max="4" width="9.140625" style="228"/>
    <col min="5" max="5" width="15.42578125" style="228" customWidth="1"/>
    <col min="6" max="9" width="9.140625" style="228"/>
    <col min="10" max="11" width="10.5703125" style="228" customWidth="1"/>
    <col min="12" max="12" width="7.42578125" style="228" customWidth="1"/>
    <col min="13" max="16384" width="9.140625" style="228"/>
  </cols>
  <sheetData>
    <row r="1" spans="1:12" ht="15" customHeight="1">
      <c r="A1" s="1578" t="s">
        <v>0</v>
      </c>
      <c r="B1" s="1579"/>
      <c r="C1" s="1580" t="s">
        <v>4</v>
      </c>
      <c r="D1" s="1581"/>
      <c r="E1" s="1582"/>
      <c r="F1" s="200" t="s">
        <v>7</v>
      </c>
      <c r="G1" s="201"/>
      <c r="H1" s="202" t="s">
        <v>8</v>
      </c>
      <c r="I1" s="201"/>
      <c r="J1" s="202" t="s">
        <v>61</v>
      </c>
      <c r="K1" s="644"/>
      <c r="L1" s="201"/>
    </row>
    <row r="2" spans="1:12" ht="15" customHeight="1">
      <c r="A2" s="459" t="s">
        <v>552</v>
      </c>
      <c r="B2" s="169"/>
      <c r="C2" s="1583"/>
      <c r="D2" s="1584"/>
      <c r="E2" s="1585"/>
      <c r="F2" s="1595">
        <v>17</v>
      </c>
      <c r="G2" s="1596"/>
      <c r="H2" s="1586"/>
      <c r="I2" s="1587"/>
      <c r="J2" s="1586">
        <v>1</v>
      </c>
      <c r="K2" s="1712"/>
      <c r="L2" s="1587"/>
    </row>
    <row r="3" spans="1:12">
      <c r="A3" s="170" t="s">
        <v>2</v>
      </c>
      <c r="B3" s="171"/>
      <c r="C3" s="167" t="s">
        <v>5</v>
      </c>
      <c r="D3" s="172"/>
      <c r="E3" s="166"/>
      <c r="F3" s="165" t="s">
        <v>9</v>
      </c>
      <c r="G3" s="172"/>
      <c r="H3" s="172"/>
      <c r="I3" s="172"/>
      <c r="J3" s="172"/>
      <c r="K3" s="166"/>
      <c r="L3" s="166"/>
    </row>
    <row r="4" spans="1:12">
      <c r="A4" s="169" t="s">
        <v>490</v>
      </c>
      <c r="B4" s="173"/>
      <c r="C4" s="174"/>
      <c r="D4" s="456">
        <v>2</v>
      </c>
      <c r="E4" s="175"/>
      <c r="F4" s="176" t="s">
        <v>869</v>
      </c>
      <c r="G4" s="643"/>
      <c r="H4" s="643"/>
      <c r="I4" s="177"/>
      <c r="J4" s="177"/>
      <c r="K4" s="175"/>
      <c r="L4" s="175"/>
    </row>
    <row r="5" spans="1:12">
      <c r="A5" s="170" t="s">
        <v>491</v>
      </c>
      <c r="B5" s="282"/>
      <c r="C5" s="165" t="s">
        <v>6</v>
      </c>
      <c r="D5" s="172"/>
      <c r="E5" s="166"/>
      <c r="F5" s="165" t="s">
        <v>10</v>
      </c>
      <c r="G5" s="172"/>
      <c r="H5" s="172"/>
      <c r="I5" s="172"/>
      <c r="J5" s="172"/>
      <c r="K5" s="166"/>
      <c r="L5" s="166"/>
    </row>
    <row r="6" spans="1:12">
      <c r="A6" s="169"/>
      <c r="B6" s="173"/>
      <c r="C6" s="174"/>
      <c r="D6" s="177"/>
      <c r="E6" s="175"/>
      <c r="F6" s="178"/>
      <c r="G6" s="177"/>
      <c r="H6" s="177"/>
      <c r="I6" s="177"/>
      <c r="J6" s="177"/>
      <c r="K6" s="175"/>
      <c r="L6" s="175"/>
    </row>
    <row r="7" spans="1:12">
      <c r="A7" s="179"/>
      <c r="B7" s="180"/>
      <c r="C7" s="180"/>
      <c r="D7" s="180"/>
      <c r="E7" s="180"/>
      <c r="F7" s="180"/>
      <c r="G7" s="180"/>
      <c r="H7" s="180"/>
      <c r="I7" s="180"/>
      <c r="J7" s="180"/>
      <c r="K7" s="181"/>
      <c r="L7" s="181"/>
    </row>
    <row r="8" spans="1:12">
      <c r="A8" s="182" t="s">
        <v>11</v>
      </c>
      <c r="B8" s="183"/>
      <c r="C8" s="172"/>
      <c r="D8" s="172"/>
      <c r="E8" s="166"/>
      <c r="F8" s="184" t="s">
        <v>12</v>
      </c>
      <c r="G8" s="166"/>
      <c r="H8" s="184" t="s">
        <v>13</v>
      </c>
      <c r="I8" s="166"/>
      <c r="J8" s="184" t="s">
        <v>14</v>
      </c>
      <c r="K8" s="166"/>
      <c r="L8" s="166"/>
    </row>
    <row r="9" spans="1:12">
      <c r="A9" s="197"/>
      <c r="B9" s="229"/>
      <c r="C9" s="229"/>
      <c r="D9" s="229"/>
      <c r="E9" s="233"/>
      <c r="F9" s="232"/>
      <c r="G9" s="233"/>
      <c r="H9" s="232"/>
      <c r="I9" s="233"/>
      <c r="J9" s="232"/>
      <c r="K9" s="233"/>
      <c r="L9" s="233"/>
    </row>
    <row r="10" spans="1:12" ht="15.75">
      <c r="A10" s="248" t="s">
        <v>872</v>
      </c>
      <c r="B10" s="538"/>
      <c r="C10" s="538"/>
      <c r="D10" s="539"/>
      <c r="E10" s="233"/>
      <c r="F10" s="232"/>
      <c r="G10" s="233"/>
      <c r="H10" s="232"/>
      <c r="I10" s="233"/>
      <c r="J10" s="232"/>
      <c r="K10" s="233"/>
      <c r="L10" s="233"/>
    </row>
    <row r="11" spans="1:12" ht="15.75">
      <c r="A11" s="1681" t="s">
        <v>873</v>
      </c>
      <c r="B11" s="1682"/>
      <c r="C11" s="1682"/>
      <c r="D11" s="1682"/>
      <c r="E11" s="1683"/>
      <c r="F11" s="179">
        <v>1</v>
      </c>
      <c r="G11" s="181"/>
      <c r="H11" s="179">
        <v>4</v>
      </c>
      <c r="I11" s="181"/>
      <c r="J11" s="179"/>
      <c r="K11" s="181"/>
      <c r="L11" s="181"/>
    </row>
    <row r="12" spans="1:12">
      <c r="A12" s="642" t="s">
        <v>773</v>
      </c>
      <c r="B12" s="1431" t="s">
        <v>875</v>
      </c>
      <c r="C12" s="1431"/>
      <c r="D12" s="1431"/>
      <c r="E12" s="1432"/>
      <c r="F12" s="179"/>
      <c r="G12" s="181"/>
      <c r="H12" s="179">
        <v>2</v>
      </c>
      <c r="I12" s="181"/>
      <c r="J12" s="180"/>
      <c r="K12" s="181"/>
      <c r="L12" s="181"/>
    </row>
    <row r="13" spans="1:12" ht="15.75" thickBot="1">
      <c r="A13" s="179"/>
      <c r="B13" s="1431"/>
      <c r="C13" s="1431"/>
      <c r="D13" s="1431"/>
      <c r="E13" s="1432"/>
      <c r="F13" s="179"/>
      <c r="G13" s="181"/>
      <c r="H13" s="174">
        <v>1.5</v>
      </c>
      <c r="I13" s="175"/>
      <c r="J13" s="199">
        <f>F11*H11*H12*H13</f>
        <v>12</v>
      </c>
      <c r="K13" s="181"/>
      <c r="L13" s="181">
        <f>H11*H13*2</f>
        <v>12</v>
      </c>
    </row>
    <row r="14" spans="1:12" ht="15.75" thickTop="1">
      <c r="A14" s="179"/>
      <c r="B14" s="180"/>
      <c r="C14" s="180"/>
      <c r="D14" s="180"/>
      <c r="E14" s="181"/>
      <c r="F14" s="179"/>
      <c r="G14" s="181"/>
      <c r="H14" s="179"/>
      <c r="I14" s="181"/>
      <c r="J14" s="180"/>
      <c r="K14" s="181"/>
      <c r="L14" s="181"/>
    </row>
    <row r="15" spans="1:12">
      <c r="A15" s="581" t="s">
        <v>775</v>
      </c>
      <c r="B15" s="1431" t="s">
        <v>876</v>
      </c>
      <c r="C15" s="1431"/>
      <c r="D15" s="1431"/>
      <c r="E15" s="1432"/>
      <c r="F15" s="179">
        <v>1</v>
      </c>
      <c r="G15" s="181"/>
      <c r="H15" s="179">
        <v>4</v>
      </c>
      <c r="I15" s="181"/>
      <c r="J15" s="180"/>
      <c r="K15" s="181"/>
      <c r="L15" s="181"/>
    </row>
    <row r="16" spans="1:12">
      <c r="A16" s="214"/>
      <c r="B16" s="180"/>
      <c r="C16" s="180"/>
      <c r="D16" s="180"/>
      <c r="E16" s="181"/>
      <c r="F16" s="179"/>
      <c r="G16" s="181"/>
      <c r="H16" s="179">
        <v>2</v>
      </c>
      <c r="I16" s="181"/>
      <c r="J16" s="180"/>
      <c r="K16" s="181"/>
      <c r="L16" s="181"/>
    </row>
    <row r="17" spans="1:13" ht="15.75" thickBot="1">
      <c r="A17" s="214"/>
      <c r="B17" s="180"/>
      <c r="C17" s="180"/>
      <c r="D17" s="180"/>
      <c r="E17" s="181"/>
      <c r="F17" s="179"/>
      <c r="G17" s="181"/>
      <c r="H17" s="174">
        <v>1.5</v>
      </c>
      <c r="I17" s="175"/>
      <c r="J17" s="199">
        <f>F15*H15*H16*H17</f>
        <v>12</v>
      </c>
      <c r="K17" s="181"/>
      <c r="L17" s="181">
        <f>H15*1.5*H17</f>
        <v>9</v>
      </c>
    </row>
    <row r="18" spans="1:13" ht="15.75" thickTop="1">
      <c r="A18" s="1686" t="s">
        <v>877</v>
      </c>
      <c r="B18" s="1687"/>
      <c r="C18" s="180"/>
      <c r="D18" s="180"/>
      <c r="E18" s="181"/>
      <c r="F18" s="179"/>
      <c r="G18" s="181"/>
      <c r="H18" s="179"/>
      <c r="I18" s="181"/>
      <c r="J18" s="179"/>
      <c r="K18" s="181"/>
      <c r="L18" s="181"/>
      <c r="M18" s="228">
        <v>423.87</v>
      </c>
    </row>
    <row r="19" spans="1:13">
      <c r="A19" s="581" t="s">
        <v>776</v>
      </c>
      <c r="B19" s="1431" t="s">
        <v>878</v>
      </c>
      <c r="C19" s="1431"/>
      <c r="D19" s="1431"/>
      <c r="E19" s="1432"/>
      <c r="F19" s="179">
        <v>1</v>
      </c>
      <c r="G19" s="181"/>
      <c r="H19" s="179">
        <v>4</v>
      </c>
      <c r="I19" s="181"/>
      <c r="J19" s="179"/>
      <c r="K19" s="181"/>
      <c r="L19" s="181"/>
    </row>
    <row r="20" spans="1:13" ht="18" customHeight="1">
      <c r="A20" s="179"/>
      <c r="B20" s="1431"/>
      <c r="C20" s="1431"/>
      <c r="D20" s="1431"/>
      <c r="E20" s="1432"/>
      <c r="F20" s="179"/>
      <c r="G20" s="181"/>
      <c r="H20" s="179">
        <v>2</v>
      </c>
      <c r="I20" s="181"/>
      <c r="J20" s="180"/>
      <c r="K20" s="181"/>
      <c r="L20" s="181"/>
    </row>
    <row r="21" spans="1:13" ht="15.75" thickBot="1">
      <c r="A21" s="179"/>
      <c r="B21" s="180"/>
      <c r="C21" s="180"/>
      <c r="D21" s="180"/>
      <c r="E21" s="181"/>
      <c r="F21" s="179"/>
      <c r="G21" s="181"/>
      <c r="H21" s="174"/>
      <c r="I21" s="175"/>
      <c r="J21" s="199">
        <f>F19*H19*H20</f>
        <v>8</v>
      </c>
      <c r="K21" s="181"/>
      <c r="L21" s="181">
        <f>H19*2*H21</f>
        <v>0</v>
      </c>
    </row>
    <row r="22" spans="1:13" ht="15.75" thickTop="1">
      <c r="A22" s="581" t="s">
        <v>777</v>
      </c>
      <c r="B22" s="1431" t="s">
        <v>879</v>
      </c>
      <c r="C22" s="1431"/>
      <c r="D22" s="1431"/>
      <c r="E22" s="1432"/>
      <c r="F22" s="179">
        <v>1</v>
      </c>
      <c r="G22" s="181"/>
      <c r="H22" s="179">
        <v>4</v>
      </c>
      <c r="I22" s="181"/>
      <c r="J22" s="179"/>
      <c r="K22" s="181"/>
      <c r="L22" s="181"/>
    </row>
    <row r="23" spans="1:13">
      <c r="A23" s="284"/>
      <c r="B23" s="180"/>
      <c r="C23" s="180"/>
      <c r="D23" s="180"/>
      <c r="E23" s="181"/>
      <c r="F23" s="179"/>
      <c r="G23" s="181"/>
      <c r="H23" s="179">
        <v>2</v>
      </c>
      <c r="I23" s="181"/>
      <c r="J23" s="180"/>
      <c r="K23" s="181"/>
      <c r="L23" s="181"/>
    </row>
    <row r="24" spans="1:13" ht="15.75" thickBot="1">
      <c r="A24" s="232"/>
      <c r="B24" s="229"/>
      <c r="C24" s="229"/>
      <c r="D24" s="229"/>
      <c r="E24" s="233"/>
      <c r="F24" s="179"/>
      <c r="G24" s="181"/>
      <c r="H24" s="174">
        <v>0.4</v>
      </c>
      <c r="I24" s="175"/>
      <c r="J24" s="199">
        <f>F22*H22*H23*H24</f>
        <v>3.2</v>
      </c>
      <c r="K24" s="181"/>
      <c r="L24" s="181">
        <f>H22*2*H24</f>
        <v>3.2</v>
      </c>
    </row>
    <row r="25" spans="1:13" ht="15.75" thickTop="1">
      <c r="A25" s="232"/>
      <c r="B25" s="229"/>
      <c r="C25" s="229"/>
      <c r="D25" s="229"/>
      <c r="E25" s="233"/>
      <c r="F25" s="232"/>
      <c r="G25" s="233"/>
      <c r="H25" s="179"/>
      <c r="I25" s="181"/>
      <c r="J25" s="180"/>
      <c r="K25" s="181"/>
      <c r="L25" s="181">
        <f>L13+L17+L21+L24</f>
        <v>24.2</v>
      </c>
    </row>
    <row r="26" spans="1:13">
      <c r="A26" s="642" t="s">
        <v>789</v>
      </c>
      <c r="B26" s="1431" t="s">
        <v>880</v>
      </c>
      <c r="C26" s="1431"/>
      <c r="D26" s="1431"/>
      <c r="E26" s="1432"/>
      <c r="F26" s="179">
        <v>2</v>
      </c>
      <c r="G26" s="181"/>
      <c r="H26" s="179">
        <v>1.66</v>
      </c>
      <c r="I26" s="181"/>
      <c r="J26" s="179"/>
      <c r="K26" s="181"/>
      <c r="L26" s="181">
        <f>J25-L25</f>
        <v>-24.2</v>
      </c>
    </row>
    <row r="27" spans="1:13">
      <c r="A27" s="581"/>
      <c r="B27" s="1431"/>
      <c r="C27" s="1431"/>
      <c r="D27" s="1431"/>
      <c r="E27" s="1432"/>
      <c r="F27" s="179"/>
      <c r="G27" s="181"/>
      <c r="H27" s="179">
        <v>1.7</v>
      </c>
      <c r="I27" s="181"/>
      <c r="J27" s="180"/>
      <c r="K27" s="181"/>
      <c r="L27" s="181"/>
    </row>
    <row r="28" spans="1:13" ht="15.75" thickBot="1">
      <c r="A28" s="179"/>
      <c r="B28" s="1431"/>
      <c r="C28" s="1431"/>
      <c r="D28" s="1431"/>
      <c r="E28" s="1432"/>
      <c r="F28" s="179"/>
      <c r="G28" s="181"/>
      <c r="H28" s="174">
        <v>0.4</v>
      </c>
      <c r="I28" s="175"/>
      <c r="J28" s="199">
        <f>F26*H26*H27*H28</f>
        <v>2.2575999999999996</v>
      </c>
      <c r="K28" s="181"/>
      <c r="L28" s="181"/>
    </row>
    <row r="29" spans="1:13" ht="15.75" thickTop="1">
      <c r="A29" s="179"/>
      <c r="B29" s="180"/>
      <c r="C29" s="180"/>
      <c r="D29" s="180"/>
      <c r="E29" s="181"/>
      <c r="F29" s="179"/>
      <c r="G29" s="181"/>
      <c r="H29" s="179"/>
      <c r="I29" s="181"/>
      <c r="J29" s="180"/>
      <c r="K29" s="181"/>
      <c r="L29" s="181"/>
    </row>
    <row r="30" spans="1:13">
      <c r="A30" s="581"/>
      <c r="B30" s="1431" t="s">
        <v>881</v>
      </c>
      <c r="C30" s="1431"/>
      <c r="D30" s="1431"/>
      <c r="E30" s="1432"/>
      <c r="F30" s="179">
        <v>1</v>
      </c>
      <c r="G30" s="181"/>
      <c r="H30" s="179">
        <v>0.8</v>
      </c>
      <c r="I30" s="181"/>
      <c r="J30" s="179"/>
      <c r="K30" s="181"/>
      <c r="L30" s="181"/>
    </row>
    <row r="31" spans="1:13">
      <c r="A31" s="214"/>
      <c r="B31" s="180"/>
      <c r="C31" s="180"/>
      <c r="D31" s="180"/>
      <c r="E31" s="181"/>
      <c r="F31" s="179"/>
      <c r="G31" s="181"/>
      <c r="H31" s="179">
        <v>0.95</v>
      </c>
      <c r="I31" s="181"/>
      <c r="J31" s="180"/>
      <c r="K31" s="181"/>
      <c r="L31" s="181"/>
    </row>
    <row r="32" spans="1:13" ht="15.75" thickBot="1">
      <c r="A32" s="214"/>
      <c r="B32" s="180"/>
      <c r="C32" s="180"/>
      <c r="D32" s="180"/>
      <c r="E32" s="181"/>
      <c r="F32" s="179"/>
      <c r="G32" s="181"/>
      <c r="H32" s="174">
        <v>1.7</v>
      </c>
      <c r="I32" s="175"/>
      <c r="J32" s="199">
        <f>F30*H30*H31*H32</f>
        <v>1.292</v>
      </c>
      <c r="K32" s="181"/>
      <c r="L32" s="181"/>
    </row>
    <row r="33" spans="1:12" ht="16.5" thickTop="1" thickBot="1">
      <c r="A33" s="581"/>
      <c r="B33" s="1692" t="s">
        <v>142</v>
      </c>
      <c r="C33" s="1692"/>
      <c r="D33" s="1692"/>
      <c r="E33" s="1693"/>
      <c r="F33" s="179"/>
      <c r="G33" s="181"/>
      <c r="H33" s="179"/>
      <c r="I33" s="181"/>
      <c r="J33" s="478">
        <f>J28+J32</f>
        <v>3.5495999999999999</v>
      </c>
      <c r="K33" s="181"/>
      <c r="L33" s="181"/>
    </row>
    <row r="34" spans="1:12" ht="15.75" thickTop="1">
      <c r="A34" s="179"/>
      <c r="B34" s="1431"/>
      <c r="C34" s="1431"/>
      <c r="D34" s="1431"/>
      <c r="E34" s="1432"/>
      <c r="F34" s="179"/>
      <c r="G34" s="181"/>
      <c r="H34" s="179"/>
      <c r="I34" s="181"/>
      <c r="J34" s="180"/>
      <c r="K34" s="181"/>
      <c r="L34" s="181"/>
    </row>
    <row r="35" spans="1:12" ht="15.75" thickBot="1">
      <c r="A35" s="665" t="s">
        <v>793</v>
      </c>
      <c r="B35" s="1431" t="s">
        <v>882</v>
      </c>
      <c r="C35" s="1431"/>
      <c r="D35" s="1431"/>
      <c r="E35" s="1432"/>
      <c r="F35" s="179">
        <v>1</v>
      </c>
      <c r="G35" s="181"/>
      <c r="H35" s="179"/>
      <c r="I35" s="181"/>
      <c r="J35" s="199">
        <v>5.9</v>
      </c>
      <c r="K35" s="181"/>
      <c r="L35" s="181"/>
    </row>
    <row r="36" spans="1:12" ht="15.75" thickTop="1">
      <c r="A36" s="180"/>
      <c r="B36" s="661"/>
      <c r="C36" s="661"/>
      <c r="D36" s="661"/>
      <c r="E36" s="662"/>
      <c r="F36" s="179"/>
      <c r="G36" s="180"/>
      <c r="H36" s="179"/>
      <c r="I36" s="180"/>
      <c r="J36" s="179"/>
      <c r="K36" s="181"/>
      <c r="L36" s="181"/>
    </row>
    <row r="37" spans="1:12" ht="15.75">
      <c r="A37" s="720" t="s">
        <v>997</v>
      </c>
      <c r="B37" s="563" t="s">
        <v>998</v>
      </c>
      <c r="C37" s="129"/>
      <c r="D37" s="130"/>
      <c r="E37" s="181"/>
      <c r="F37" s="179"/>
      <c r="G37" s="180"/>
      <c r="H37" s="179"/>
      <c r="I37" s="180"/>
      <c r="J37" s="179"/>
      <c r="K37" s="181"/>
      <c r="L37" s="181"/>
    </row>
    <row r="38" spans="1:12">
      <c r="A38" s="561"/>
      <c r="B38" s="196"/>
      <c r="C38" s="196"/>
      <c r="D38" s="196"/>
      <c r="E38" s="181"/>
      <c r="F38" s="179"/>
      <c r="G38" s="181"/>
      <c r="H38" s="179"/>
      <c r="I38" s="181"/>
      <c r="J38" s="179"/>
      <c r="K38" s="181"/>
      <c r="L38" s="181"/>
    </row>
    <row r="39" spans="1:12">
      <c r="A39" s="562"/>
      <c r="B39" s="666" t="s">
        <v>999</v>
      </c>
      <c r="C39" s="666"/>
      <c r="D39" s="666"/>
      <c r="E39" s="667"/>
      <c r="F39" s="179">
        <v>1</v>
      </c>
      <c r="G39" s="181"/>
      <c r="H39" s="179">
        <v>16.2</v>
      </c>
      <c r="I39" s="181"/>
      <c r="J39" s="179"/>
      <c r="K39" s="181"/>
      <c r="L39" s="181"/>
    </row>
    <row r="40" spans="1:12" ht="15.75" thickBot="1">
      <c r="A40" s="562"/>
      <c r="B40" s="196" t="s">
        <v>1000</v>
      </c>
      <c r="C40" s="666" t="s">
        <v>1001</v>
      </c>
      <c r="D40" s="666"/>
      <c r="E40" s="667"/>
      <c r="F40" s="179"/>
      <c r="G40" s="181"/>
      <c r="H40" s="174">
        <v>0.45</v>
      </c>
      <c r="I40" s="175"/>
      <c r="J40" s="199">
        <f>F39*H39*H40</f>
        <v>7.29</v>
      </c>
      <c r="K40" s="181"/>
      <c r="L40" s="233"/>
    </row>
    <row r="41" spans="1:12" ht="15.75" thickTop="1">
      <c r="A41" s="562"/>
      <c r="B41" s="196"/>
      <c r="C41" s="196"/>
      <c r="D41" s="196"/>
      <c r="E41" s="181"/>
      <c r="F41" s="179"/>
      <c r="G41" s="180"/>
      <c r="H41" s="184"/>
      <c r="I41" s="180"/>
      <c r="J41" s="179"/>
      <c r="K41" s="181"/>
      <c r="L41" s="233"/>
    </row>
    <row r="42" spans="1:12">
      <c r="A42" s="562"/>
      <c r="B42" s="1616" t="s">
        <v>1002</v>
      </c>
      <c r="C42" s="1616"/>
      <c r="D42" s="1616"/>
      <c r="E42" s="1617"/>
      <c r="F42" s="179">
        <v>4</v>
      </c>
      <c r="G42" s="181"/>
      <c r="H42" s="179">
        <v>1.71</v>
      </c>
      <c r="I42" s="181"/>
      <c r="J42" s="179"/>
      <c r="K42" s="233"/>
      <c r="L42" s="233"/>
    </row>
    <row r="43" spans="1:12">
      <c r="A43" s="562"/>
      <c r="B43" s="1624" t="s">
        <v>870</v>
      </c>
      <c r="C43" s="1624"/>
      <c r="D43" s="1624"/>
      <c r="E43" s="1625"/>
      <c r="F43" s="179"/>
      <c r="G43" s="181"/>
      <c r="H43" s="179">
        <v>1.75</v>
      </c>
      <c r="I43" s="181"/>
      <c r="J43" s="180"/>
      <c r="K43" s="181"/>
      <c r="L43" s="233"/>
    </row>
    <row r="44" spans="1:12" ht="15.75" thickBot="1">
      <c r="A44" s="562"/>
      <c r="B44" s="196"/>
      <c r="C44" s="196"/>
      <c r="D44" s="196"/>
      <c r="E44" s="181"/>
      <c r="F44" s="179"/>
      <c r="G44" s="181"/>
      <c r="H44" s="174"/>
      <c r="I44" s="175"/>
      <c r="J44" s="199">
        <f>F42*H42*H43</f>
        <v>11.969999999999999</v>
      </c>
      <c r="K44" s="181"/>
      <c r="L44" s="233"/>
    </row>
    <row r="45" spans="1:12" ht="15.75" thickTop="1">
      <c r="A45" s="562"/>
      <c r="B45" s="1624" t="s">
        <v>871</v>
      </c>
      <c r="C45" s="1624"/>
      <c r="D45" s="1624"/>
      <c r="E45" s="1625"/>
      <c r="F45" s="179"/>
      <c r="G45" s="181"/>
      <c r="H45" s="179"/>
      <c r="I45" s="181"/>
      <c r="J45" s="180"/>
      <c r="K45" s="181"/>
      <c r="L45" s="233"/>
    </row>
    <row r="46" spans="1:12">
      <c r="A46" s="562"/>
      <c r="B46" s="196"/>
      <c r="C46" s="196"/>
      <c r="D46" s="196"/>
      <c r="E46" s="181"/>
      <c r="F46" s="179">
        <v>2</v>
      </c>
      <c r="G46" s="181"/>
      <c r="H46" s="179">
        <v>0.85</v>
      </c>
      <c r="I46" s="181"/>
      <c r="J46" s="179"/>
      <c r="K46" s="181"/>
      <c r="L46" s="233"/>
    </row>
    <row r="47" spans="1:12">
      <c r="A47" s="562"/>
      <c r="B47" s="196"/>
      <c r="C47" s="196"/>
      <c r="D47" s="196"/>
      <c r="E47" s="181"/>
      <c r="F47" s="179"/>
      <c r="G47" s="181"/>
      <c r="H47" s="179">
        <v>1</v>
      </c>
      <c r="I47" s="181"/>
      <c r="J47" s="180"/>
      <c r="K47" s="181"/>
      <c r="L47" s="233"/>
    </row>
    <row r="48" spans="1:12" ht="15.75" thickBot="1">
      <c r="A48" s="562"/>
      <c r="B48" s="196"/>
      <c r="C48" s="196"/>
      <c r="D48" s="196"/>
      <c r="E48" s="181"/>
      <c r="F48" s="179"/>
      <c r="G48" s="181"/>
      <c r="H48" s="174"/>
      <c r="I48" s="175"/>
      <c r="J48" s="199">
        <f>F46*H46*H47</f>
        <v>1.7</v>
      </c>
      <c r="K48" s="181"/>
      <c r="L48" s="233"/>
    </row>
    <row r="49" spans="1:12" ht="16.5" thickTop="1" thickBot="1">
      <c r="A49" s="232"/>
      <c r="B49" s="1692" t="s">
        <v>142</v>
      </c>
      <c r="C49" s="1692"/>
      <c r="D49" s="1692"/>
      <c r="E49" s="1693"/>
      <c r="F49" s="179"/>
      <c r="G49" s="181"/>
      <c r="H49" s="179"/>
      <c r="I49" s="181"/>
      <c r="J49" s="478">
        <f>J44+J48</f>
        <v>13.669999999999998</v>
      </c>
      <c r="K49" s="181"/>
      <c r="L49" s="233"/>
    </row>
    <row r="50" spans="1:12" ht="15.75" thickTop="1">
      <c r="A50" s="232"/>
      <c r="B50" s="229"/>
      <c r="C50" s="229"/>
      <c r="D50" s="229"/>
      <c r="E50" s="233"/>
      <c r="F50" s="232"/>
      <c r="G50" s="233"/>
      <c r="H50" s="179"/>
      <c r="I50" s="181"/>
      <c r="J50" s="180"/>
      <c r="K50" s="181"/>
      <c r="L50" s="233"/>
    </row>
    <row r="51" spans="1:12">
      <c r="A51" s="670"/>
      <c r="B51" s="1431"/>
      <c r="C51" s="1431"/>
      <c r="D51" s="1431"/>
      <c r="E51" s="1432"/>
      <c r="F51" s="179"/>
      <c r="G51" s="181"/>
      <c r="H51" s="179"/>
      <c r="I51" s="181"/>
      <c r="J51" s="179"/>
      <c r="K51" s="181"/>
      <c r="L51" s="233"/>
    </row>
    <row r="52" spans="1:12">
      <c r="A52" s="670"/>
      <c r="B52" s="1431"/>
      <c r="C52" s="1431"/>
      <c r="D52" s="1431"/>
      <c r="E52" s="1432"/>
      <c r="F52" s="179"/>
      <c r="G52" s="181"/>
      <c r="H52" s="179"/>
      <c r="I52" s="181"/>
      <c r="J52" s="180"/>
      <c r="K52" s="181"/>
      <c r="L52" s="233"/>
    </row>
    <row r="53" spans="1:12">
      <c r="A53" s="179"/>
      <c r="B53" s="1431"/>
      <c r="C53" s="1431"/>
      <c r="D53" s="1431"/>
      <c r="E53" s="1432"/>
      <c r="F53" s="179"/>
      <c r="G53" s="181"/>
      <c r="H53" s="179"/>
      <c r="I53" s="181"/>
      <c r="J53" s="179"/>
      <c r="K53" s="181"/>
      <c r="L53" s="233"/>
    </row>
    <row r="54" spans="1:12">
      <c r="A54" s="179"/>
      <c r="B54" s="180"/>
      <c r="C54" s="180"/>
      <c r="D54" s="180"/>
      <c r="E54" s="181"/>
      <c r="F54" s="179"/>
      <c r="G54" s="181"/>
      <c r="H54" s="179"/>
      <c r="I54" s="181"/>
      <c r="J54" s="180"/>
      <c r="K54" s="181"/>
      <c r="L54" s="233"/>
    </row>
    <row r="55" spans="1:12">
      <c r="A55" s="670"/>
      <c r="B55" s="1431"/>
      <c r="C55" s="1431"/>
      <c r="D55" s="1431"/>
      <c r="E55" s="1432"/>
      <c r="F55" s="179"/>
      <c r="G55" s="181"/>
      <c r="H55" s="179"/>
      <c r="I55" s="181"/>
      <c r="J55" s="179"/>
      <c r="K55" s="181"/>
      <c r="L55" s="233"/>
    </row>
    <row r="56" spans="1:12" ht="19.5" customHeight="1">
      <c r="A56" s="214"/>
      <c r="B56" s="180"/>
      <c r="C56" s="180"/>
      <c r="D56" s="180"/>
      <c r="E56" s="181"/>
      <c r="F56" s="179"/>
      <c r="G56" s="181"/>
      <c r="H56" s="179"/>
      <c r="I56" s="181"/>
      <c r="J56" s="180"/>
      <c r="K56" s="181"/>
      <c r="L56" s="233"/>
    </row>
    <row r="57" spans="1:12">
      <c r="A57" s="214"/>
      <c r="B57" s="180"/>
      <c r="C57" s="180"/>
      <c r="D57" s="180"/>
      <c r="E57" s="181"/>
      <c r="F57" s="179"/>
      <c r="G57" s="181"/>
      <c r="H57" s="179"/>
      <c r="I57" s="181"/>
      <c r="J57" s="179"/>
      <c r="K57" s="181"/>
      <c r="L57" s="233"/>
    </row>
    <row r="58" spans="1:12">
      <c r="A58" s="670"/>
      <c r="B58" s="1692"/>
      <c r="C58" s="1692"/>
      <c r="D58" s="1692"/>
      <c r="E58" s="1693"/>
      <c r="F58" s="179"/>
      <c r="G58" s="181"/>
      <c r="H58" s="179"/>
      <c r="I58" s="181"/>
      <c r="J58" s="185"/>
      <c r="K58" s="181"/>
      <c r="L58" s="233"/>
    </row>
    <row r="59" spans="1:12">
      <c r="A59" s="179"/>
      <c r="B59" s="1431"/>
      <c r="C59" s="1431"/>
      <c r="D59" s="1431"/>
      <c r="E59" s="1432"/>
      <c r="F59" s="179"/>
      <c r="G59" s="181"/>
      <c r="H59" s="179"/>
      <c r="I59" s="181"/>
      <c r="J59" s="180"/>
      <c r="K59" s="181"/>
      <c r="L59" s="233"/>
    </row>
    <row r="60" spans="1:12">
      <c r="A60" s="179"/>
      <c r="B60" s="1435"/>
      <c r="C60" s="1435"/>
      <c r="D60" s="1435"/>
      <c r="E60" s="1436"/>
      <c r="F60" s="179"/>
      <c r="G60" s="181"/>
      <c r="H60" s="179"/>
      <c r="I60" s="181"/>
      <c r="J60" s="179"/>
      <c r="K60" s="181"/>
      <c r="L60" s="233"/>
    </row>
    <row r="61" spans="1:12" ht="15.75" thickBot="1">
      <c r="A61" s="232"/>
      <c r="B61" s="229"/>
      <c r="C61" s="229"/>
      <c r="D61" s="229"/>
      <c r="E61" s="233"/>
      <c r="F61" s="232"/>
      <c r="G61" s="233"/>
      <c r="H61" s="232"/>
      <c r="I61" s="233"/>
      <c r="J61" s="234"/>
      <c r="K61" s="245"/>
      <c r="L61" s="233"/>
    </row>
    <row r="62" spans="1:12" ht="15.75" thickTop="1">
      <c r="A62" s="235"/>
      <c r="B62" s="236"/>
      <c r="C62" s="236"/>
      <c r="D62" s="236"/>
      <c r="E62" s="236"/>
      <c r="F62" s="236"/>
      <c r="G62" s="236"/>
      <c r="H62" s="236"/>
      <c r="I62" s="236"/>
      <c r="J62" s="236"/>
      <c r="K62" s="237"/>
      <c r="L62" s="237"/>
    </row>
    <row r="63" spans="1:12">
      <c r="A63" s="238"/>
      <c r="B63" s="239" t="s">
        <v>10</v>
      </c>
      <c r="C63" s="239" t="s">
        <v>18</v>
      </c>
      <c r="D63" s="240" t="s">
        <v>19</v>
      </c>
      <c r="E63" s="241"/>
      <c r="F63" s="241"/>
      <c r="G63" s="241"/>
      <c r="H63" s="241"/>
      <c r="I63" s="241"/>
      <c r="J63" s="241"/>
      <c r="K63" s="242"/>
      <c r="L63" s="242"/>
    </row>
    <row r="64" spans="1:12">
      <c r="A64" s="243" t="s">
        <v>15</v>
      </c>
      <c r="B64" s="238"/>
      <c r="C64" s="238"/>
      <c r="D64" s="244"/>
      <c r="E64" s="241"/>
      <c r="F64" s="241"/>
      <c r="G64" s="241"/>
      <c r="H64" s="241"/>
      <c r="I64" s="241"/>
      <c r="J64" s="241"/>
      <c r="K64" s="242"/>
      <c r="L64" s="242"/>
    </row>
    <row r="65" spans="1:12">
      <c r="A65" s="243" t="s">
        <v>16</v>
      </c>
      <c r="B65" s="238"/>
      <c r="C65" s="238"/>
      <c r="D65" s="244"/>
      <c r="E65" s="241"/>
      <c r="F65" s="241"/>
      <c r="G65" s="241"/>
      <c r="H65" s="241"/>
      <c r="I65" s="241"/>
      <c r="J65" s="241"/>
      <c r="K65" s="242"/>
      <c r="L65" s="242"/>
    </row>
    <row r="66" spans="1:12">
      <c r="A66" s="243" t="s">
        <v>553</v>
      </c>
      <c r="B66" s="238"/>
      <c r="C66" s="238"/>
      <c r="D66" s="244"/>
      <c r="E66" s="241"/>
      <c r="F66" s="241"/>
      <c r="G66" s="241"/>
      <c r="H66" s="241"/>
      <c r="I66" s="241"/>
      <c r="J66" s="241"/>
      <c r="K66" s="242"/>
      <c r="L66" s="242"/>
    </row>
    <row r="67" spans="1:12" ht="15" customHeight="1">
      <c r="A67" s="1578" t="s">
        <v>0</v>
      </c>
      <c r="B67" s="1579"/>
      <c r="C67" s="1580" t="s">
        <v>4</v>
      </c>
      <c r="D67" s="1581"/>
      <c r="E67" s="1582"/>
      <c r="F67" s="200" t="s">
        <v>7</v>
      </c>
      <c r="G67" s="201"/>
      <c r="H67" s="202" t="s">
        <v>8</v>
      </c>
      <c r="I67" s="201"/>
      <c r="J67" s="202" t="s">
        <v>61</v>
      </c>
      <c r="K67" s="644"/>
      <c r="L67" s="201"/>
    </row>
    <row r="68" spans="1:12" ht="15" customHeight="1">
      <c r="A68" s="459" t="s">
        <v>552</v>
      </c>
      <c r="B68" s="169"/>
      <c r="C68" s="1583"/>
      <c r="D68" s="1584"/>
      <c r="E68" s="1585"/>
      <c r="F68" s="1595">
        <v>15</v>
      </c>
      <c r="G68" s="1596"/>
      <c r="H68" s="1586"/>
      <c r="I68" s="1587"/>
      <c r="J68" s="1586">
        <v>2</v>
      </c>
      <c r="K68" s="1712"/>
      <c r="L68" s="1587"/>
    </row>
    <row r="69" spans="1:12">
      <c r="A69" s="170" t="s">
        <v>2</v>
      </c>
      <c r="B69" s="171"/>
      <c r="C69" s="167" t="s">
        <v>5</v>
      </c>
      <c r="D69" s="172"/>
      <c r="E69" s="166"/>
      <c r="F69" s="165" t="s">
        <v>9</v>
      </c>
      <c r="G69" s="172"/>
      <c r="H69" s="172"/>
      <c r="I69" s="172"/>
      <c r="J69" s="172"/>
      <c r="K69" s="166"/>
      <c r="L69" s="166"/>
    </row>
    <row r="70" spans="1:12">
      <c r="A70" s="169" t="s">
        <v>490</v>
      </c>
      <c r="B70" s="173"/>
      <c r="C70" s="174"/>
      <c r="D70" s="456">
        <v>2</v>
      </c>
      <c r="E70" s="175"/>
      <c r="F70" s="176" t="s">
        <v>869</v>
      </c>
      <c r="G70" s="643"/>
      <c r="H70" s="643"/>
      <c r="I70" s="177"/>
      <c r="J70" s="177"/>
      <c r="K70" s="175"/>
      <c r="L70" s="175"/>
    </row>
    <row r="71" spans="1:12">
      <c r="A71" s="170" t="s">
        <v>491</v>
      </c>
      <c r="B71" s="282"/>
      <c r="C71" s="165" t="s">
        <v>6</v>
      </c>
      <c r="D71" s="172"/>
      <c r="E71" s="166"/>
      <c r="F71" s="165" t="s">
        <v>10</v>
      </c>
      <c r="G71" s="172"/>
      <c r="H71" s="172"/>
      <c r="I71" s="172"/>
      <c r="J71" s="172"/>
      <c r="K71" s="166"/>
      <c r="L71" s="166"/>
    </row>
    <row r="72" spans="1:12">
      <c r="A72" s="169"/>
      <c r="B72" s="173"/>
      <c r="C72" s="174"/>
      <c r="D72" s="177"/>
      <c r="E72" s="175"/>
      <c r="F72" s="178"/>
      <c r="G72" s="177"/>
      <c r="H72" s="177"/>
      <c r="I72" s="177"/>
      <c r="J72" s="177"/>
      <c r="K72" s="175"/>
      <c r="L72" s="175"/>
    </row>
    <row r="73" spans="1:12">
      <c r="A73" s="179"/>
      <c r="B73" s="180"/>
      <c r="C73" s="180"/>
      <c r="D73" s="180"/>
      <c r="E73" s="180"/>
      <c r="F73" s="180"/>
      <c r="G73" s="180"/>
      <c r="H73" s="180"/>
      <c r="I73" s="180"/>
      <c r="J73" s="180"/>
      <c r="K73" s="181"/>
      <c r="L73" s="181"/>
    </row>
    <row r="74" spans="1:12">
      <c r="A74" s="182" t="s">
        <v>11</v>
      </c>
      <c r="B74" s="183"/>
      <c r="C74" s="172"/>
      <c r="D74" s="172"/>
      <c r="E74" s="166"/>
      <c r="F74" s="184" t="s">
        <v>12</v>
      </c>
      <c r="G74" s="166"/>
      <c r="H74" s="184" t="s">
        <v>13</v>
      </c>
      <c r="I74" s="166"/>
      <c r="J74" s="184" t="s">
        <v>14</v>
      </c>
      <c r="K74" s="166"/>
      <c r="L74" s="166"/>
    </row>
    <row r="75" spans="1:12">
      <c r="A75" s="197"/>
      <c r="B75" s="229"/>
      <c r="C75" s="229"/>
      <c r="D75" s="229"/>
      <c r="E75" s="233"/>
      <c r="F75" s="232"/>
      <c r="G75" s="233"/>
      <c r="H75" s="232"/>
      <c r="I75" s="233"/>
      <c r="J75" s="232"/>
      <c r="K75" s="233"/>
      <c r="L75" s="233"/>
    </row>
    <row r="76" spans="1:12" ht="15.75">
      <c r="A76" s="1681" t="s">
        <v>874</v>
      </c>
      <c r="B76" s="1682"/>
      <c r="C76" s="1682"/>
      <c r="D76" s="1682"/>
      <c r="E76" s="1683"/>
      <c r="F76" s="179">
        <v>1</v>
      </c>
      <c r="G76" s="181"/>
      <c r="H76" s="179">
        <v>4</v>
      </c>
      <c r="I76" s="181"/>
      <c r="J76" s="179"/>
      <c r="K76" s="233"/>
      <c r="L76" s="233"/>
    </row>
    <row r="77" spans="1:12">
      <c r="A77" s="670" t="s">
        <v>773</v>
      </c>
      <c r="B77" s="1431" t="s">
        <v>875</v>
      </c>
      <c r="C77" s="1431"/>
      <c r="D77" s="1431"/>
      <c r="E77" s="1432"/>
      <c r="F77" s="179"/>
      <c r="G77" s="181"/>
      <c r="H77" s="179">
        <v>2</v>
      </c>
      <c r="I77" s="181"/>
      <c r="J77" s="180"/>
      <c r="K77" s="181"/>
      <c r="L77" s="181"/>
    </row>
    <row r="78" spans="1:12" ht="15.75" thickBot="1">
      <c r="A78" s="179"/>
      <c r="B78" s="1431"/>
      <c r="C78" s="1431"/>
      <c r="D78" s="1431"/>
      <c r="E78" s="1432"/>
      <c r="F78" s="179"/>
      <c r="G78" s="181"/>
      <c r="H78" s="174">
        <v>1.5</v>
      </c>
      <c r="I78" s="175"/>
      <c r="J78" s="199">
        <f>F76*H76*H77*H78</f>
        <v>12</v>
      </c>
      <c r="K78" s="181"/>
      <c r="L78" s="181"/>
    </row>
    <row r="79" spans="1:12" ht="15.75" thickTop="1">
      <c r="A79" s="179"/>
      <c r="B79" s="180"/>
      <c r="C79" s="180"/>
      <c r="D79" s="180"/>
      <c r="E79" s="181"/>
      <c r="F79" s="179"/>
      <c r="G79" s="181"/>
      <c r="H79" s="179"/>
      <c r="I79" s="181"/>
      <c r="J79" s="180"/>
      <c r="K79" s="181"/>
      <c r="L79" s="181"/>
    </row>
    <row r="80" spans="1:12">
      <c r="A80" s="670" t="s">
        <v>775</v>
      </c>
      <c r="B80" s="1431" t="s">
        <v>876</v>
      </c>
      <c r="C80" s="1431"/>
      <c r="D80" s="1431"/>
      <c r="E80" s="1432"/>
      <c r="F80" s="179">
        <v>1</v>
      </c>
      <c r="G80" s="181"/>
      <c r="H80" s="179">
        <v>4</v>
      </c>
      <c r="I80" s="181"/>
      <c r="J80" s="180"/>
      <c r="K80" s="181"/>
      <c r="L80" s="181"/>
    </row>
    <row r="81" spans="1:12">
      <c r="A81" s="214"/>
      <c r="B81" s="180"/>
      <c r="C81" s="180"/>
      <c r="D81" s="180"/>
      <c r="E81" s="181"/>
      <c r="F81" s="179"/>
      <c r="G81" s="181"/>
      <c r="H81" s="179">
        <v>2</v>
      </c>
      <c r="I81" s="181"/>
      <c r="J81" s="180"/>
      <c r="K81" s="181"/>
      <c r="L81" s="181"/>
    </row>
    <row r="82" spans="1:12" ht="15.75" thickBot="1">
      <c r="A82" s="214"/>
      <c r="B82" s="180"/>
      <c r="C82" s="180"/>
      <c r="D82" s="180"/>
      <c r="E82" s="181"/>
      <c r="F82" s="179"/>
      <c r="G82" s="181"/>
      <c r="H82" s="174">
        <v>1.5</v>
      </c>
      <c r="I82" s="175"/>
      <c r="J82" s="199">
        <f>F80*H80*H81*H82</f>
        <v>12</v>
      </c>
      <c r="K82" s="181"/>
      <c r="L82" s="181"/>
    </row>
    <row r="83" spans="1:12" ht="15.75" thickTop="1">
      <c r="A83" s="1686" t="s">
        <v>877</v>
      </c>
      <c r="B83" s="1687"/>
      <c r="C83" s="180"/>
      <c r="D83" s="180"/>
      <c r="E83" s="181"/>
      <c r="F83" s="179"/>
      <c r="G83" s="181"/>
      <c r="H83" s="179"/>
      <c r="I83" s="181"/>
      <c r="J83" s="179"/>
      <c r="K83" s="181"/>
      <c r="L83" s="181"/>
    </row>
    <row r="84" spans="1:12">
      <c r="A84" s="670" t="s">
        <v>776</v>
      </c>
      <c r="B84" s="1431" t="s">
        <v>878</v>
      </c>
      <c r="C84" s="1431"/>
      <c r="D84" s="1431"/>
      <c r="E84" s="1432"/>
      <c r="F84" s="179">
        <v>1</v>
      </c>
      <c r="G84" s="181"/>
      <c r="H84" s="179">
        <v>4</v>
      </c>
      <c r="I84" s="181"/>
      <c r="J84" s="179"/>
      <c r="K84" s="181"/>
      <c r="L84" s="181"/>
    </row>
    <row r="85" spans="1:12" ht="18" customHeight="1">
      <c r="A85" s="179"/>
      <c r="B85" s="1431"/>
      <c r="C85" s="1431"/>
      <c r="D85" s="1431"/>
      <c r="E85" s="1432"/>
      <c r="F85" s="179"/>
      <c r="G85" s="181"/>
      <c r="H85" s="179">
        <v>2</v>
      </c>
      <c r="I85" s="181"/>
      <c r="J85" s="180"/>
      <c r="K85" s="181"/>
      <c r="L85" s="181"/>
    </row>
    <row r="86" spans="1:12" ht="15.75" thickBot="1">
      <c r="A86" s="179"/>
      <c r="B86" s="180"/>
      <c r="C86" s="180"/>
      <c r="D86" s="180"/>
      <c r="E86" s="181"/>
      <c r="F86" s="179"/>
      <c r="G86" s="181"/>
      <c r="H86" s="174"/>
      <c r="I86" s="175"/>
      <c r="J86" s="199">
        <f>F84*H84*H85</f>
        <v>8</v>
      </c>
      <c r="K86" s="181"/>
      <c r="L86" s="181"/>
    </row>
    <row r="87" spans="1:12" ht="15.75" thickTop="1">
      <c r="A87" s="670" t="s">
        <v>777</v>
      </c>
      <c r="B87" s="1431" t="s">
        <v>879</v>
      </c>
      <c r="C87" s="1431"/>
      <c r="D87" s="1431"/>
      <c r="E87" s="1432"/>
      <c r="F87" s="179">
        <v>1</v>
      </c>
      <c r="G87" s="181"/>
      <c r="H87" s="179">
        <v>4</v>
      </c>
      <c r="I87" s="181"/>
      <c r="J87" s="179"/>
      <c r="K87" s="233"/>
      <c r="L87" s="181"/>
    </row>
    <row r="88" spans="1:12">
      <c r="A88" s="284"/>
      <c r="B88" s="180"/>
      <c r="C88" s="180"/>
      <c r="D88" s="180"/>
      <c r="E88" s="181"/>
      <c r="F88" s="179"/>
      <c r="G88" s="181"/>
      <c r="H88" s="179">
        <v>2</v>
      </c>
      <c r="I88" s="181"/>
      <c r="J88" s="180"/>
      <c r="K88" s="181"/>
      <c r="L88" s="181"/>
    </row>
    <row r="89" spans="1:12" ht="15.75" thickBot="1">
      <c r="A89" s="232"/>
      <c r="B89" s="229"/>
      <c r="C89" s="229"/>
      <c r="D89" s="229"/>
      <c r="E89" s="233"/>
      <c r="F89" s="179"/>
      <c r="G89" s="181"/>
      <c r="H89" s="174">
        <v>0.4</v>
      </c>
      <c r="I89" s="175"/>
      <c r="J89" s="199">
        <f>F87*H87*H88*H89</f>
        <v>3.2</v>
      </c>
      <c r="K89" s="181"/>
      <c r="L89" s="181"/>
    </row>
    <row r="90" spans="1:12" ht="15.75" thickTop="1">
      <c r="A90" s="232"/>
      <c r="B90" s="229"/>
      <c r="C90" s="229"/>
      <c r="D90" s="229"/>
      <c r="E90" s="233"/>
      <c r="F90" s="232"/>
      <c r="G90" s="233"/>
      <c r="H90" s="179"/>
      <c r="I90" s="181"/>
      <c r="J90" s="180"/>
      <c r="K90" s="181"/>
      <c r="L90" s="181"/>
    </row>
    <row r="91" spans="1:12">
      <c r="A91" s="670" t="s">
        <v>789</v>
      </c>
      <c r="B91" s="1431" t="s">
        <v>880</v>
      </c>
      <c r="C91" s="1431"/>
      <c r="D91" s="1431"/>
      <c r="E91" s="1432"/>
      <c r="F91" s="179">
        <v>2</v>
      </c>
      <c r="G91" s="181"/>
      <c r="H91" s="179">
        <v>1.66</v>
      </c>
      <c r="I91" s="181"/>
      <c r="J91" s="179"/>
      <c r="K91" s="181"/>
      <c r="L91" s="181"/>
    </row>
    <row r="92" spans="1:12">
      <c r="A92" s="670"/>
      <c r="B92" s="1431"/>
      <c r="C92" s="1431"/>
      <c r="D92" s="1431"/>
      <c r="E92" s="1432"/>
      <c r="F92" s="179"/>
      <c r="G92" s="181"/>
      <c r="H92" s="179">
        <v>1.7</v>
      </c>
      <c r="I92" s="181"/>
      <c r="J92" s="180"/>
      <c r="K92" s="181"/>
      <c r="L92" s="181"/>
    </row>
    <row r="93" spans="1:12" ht="15.75" thickBot="1">
      <c r="A93" s="179"/>
      <c r="B93" s="1431"/>
      <c r="C93" s="1431"/>
      <c r="D93" s="1431"/>
      <c r="E93" s="1432"/>
      <c r="F93" s="179"/>
      <c r="G93" s="181"/>
      <c r="H93" s="174">
        <v>0.4</v>
      </c>
      <c r="I93" s="175"/>
      <c r="J93" s="199">
        <f>F91*H91*H92*H93</f>
        <v>2.2575999999999996</v>
      </c>
      <c r="K93" s="181"/>
      <c r="L93" s="181"/>
    </row>
    <row r="94" spans="1:12" ht="15.75" thickTop="1">
      <c r="A94" s="179"/>
      <c r="B94" s="180"/>
      <c r="C94" s="180"/>
      <c r="D94" s="180"/>
      <c r="E94" s="181"/>
      <c r="F94" s="179"/>
      <c r="G94" s="181"/>
      <c r="H94" s="179"/>
      <c r="I94" s="181"/>
      <c r="J94" s="180"/>
      <c r="K94" s="181"/>
      <c r="L94" s="181"/>
    </row>
    <row r="95" spans="1:12">
      <c r="A95" s="670"/>
      <c r="B95" s="1431" t="s">
        <v>881</v>
      </c>
      <c r="C95" s="1431"/>
      <c r="D95" s="1431"/>
      <c r="E95" s="1432"/>
      <c r="F95" s="179">
        <v>1</v>
      </c>
      <c r="G95" s="181"/>
      <c r="H95" s="179">
        <v>0.8</v>
      </c>
      <c r="I95" s="181"/>
      <c r="J95" s="179"/>
      <c r="K95" s="181"/>
      <c r="L95" s="181"/>
    </row>
    <row r="96" spans="1:12">
      <c r="A96" s="214"/>
      <c r="B96" s="180"/>
      <c r="C96" s="180"/>
      <c r="D96" s="180"/>
      <c r="E96" s="181"/>
      <c r="F96" s="179"/>
      <c r="G96" s="181"/>
      <c r="H96" s="179">
        <v>0.95</v>
      </c>
      <c r="I96" s="181"/>
      <c r="J96" s="180"/>
      <c r="K96" s="181"/>
      <c r="L96" s="181"/>
    </row>
    <row r="97" spans="1:12" ht="15.75" thickBot="1">
      <c r="A97" s="214"/>
      <c r="B97" s="180"/>
      <c r="C97" s="180"/>
      <c r="D97" s="180"/>
      <c r="E97" s="181"/>
      <c r="F97" s="179"/>
      <c r="G97" s="181"/>
      <c r="H97" s="174">
        <v>1.7</v>
      </c>
      <c r="I97" s="175"/>
      <c r="J97" s="199">
        <f>F95*H95*H96*H97</f>
        <v>1.292</v>
      </c>
      <c r="K97" s="181"/>
      <c r="L97" s="181"/>
    </row>
    <row r="98" spans="1:12" ht="16.5" thickTop="1" thickBot="1">
      <c r="A98" s="670"/>
      <c r="B98" s="1692" t="s">
        <v>142</v>
      </c>
      <c r="C98" s="1692"/>
      <c r="D98" s="1692"/>
      <c r="E98" s="1693"/>
      <c r="F98" s="179"/>
      <c r="G98" s="181"/>
      <c r="H98" s="179"/>
      <c r="I98" s="181"/>
      <c r="J98" s="478">
        <f>J93+J97</f>
        <v>3.5495999999999999</v>
      </c>
      <c r="K98" s="233"/>
      <c r="L98" s="181"/>
    </row>
    <row r="99" spans="1:12" ht="15.75" thickTop="1">
      <c r="A99" s="179"/>
      <c r="B99" s="1431"/>
      <c r="C99" s="1431"/>
      <c r="D99" s="1431"/>
      <c r="E99" s="1432"/>
      <c r="F99" s="179"/>
      <c r="G99" s="181"/>
      <c r="H99" s="179"/>
      <c r="I99" s="181"/>
      <c r="J99" s="180"/>
      <c r="K99" s="181"/>
      <c r="L99" s="181"/>
    </row>
    <row r="100" spans="1:12" ht="15.75" thickBot="1">
      <c r="A100" s="665" t="s">
        <v>793</v>
      </c>
      <c r="B100" s="1431" t="s">
        <v>882</v>
      </c>
      <c r="C100" s="1431"/>
      <c r="D100" s="1431"/>
      <c r="E100" s="1432"/>
      <c r="F100" s="179">
        <v>1</v>
      </c>
      <c r="G100" s="181"/>
      <c r="H100" s="179"/>
      <c r="I100" s="181"/>
      <c r="J100" s="199">
        <v>5.9</v>
      </c>
      <c r="K100" s="181"/>
      <c r="L100" s="181"/>
    </row>
    <row r="101" spans="1:12" ht="15.75" thickTop="1">
      <c r="A101" s="180"/>
      <c r="B101" s="661"/>
      <c r="C101" s="661"/>
      <c r="D101" s="661"/>
      <c r="E101" s="662"/>
      <c r="F101" s="179"/>
      <c r="G101" s="180"/>
      <c r="H101" s="179"/>
      <c r="I101" s="180"/>
      <c r="J101" s="179"/>
      <c r="K101" s="181"/>
      <c r="L101" s="181"/>
    </row>
    <row r="102" spans="1:12" ht="15.75">
      <c r="A102" s="720" t="s">
        <v>997</v>
      </c>
      <c r="B102" s="563" t="s">
        <v>998</v>
      </c>
      <c r="C102" s="129"/>
      <c r="D102" s="130"/>
      <c r="E102" s="181"/>
      <c r="F102" s="179"/>
      <c r="G102" s="180"/>
      <c r="H102" s="179"/>
      <c r="I102" s="180"/>
      <c r="J102" s="179"/>
      <c r="K102" s="181"/>
      <c r="L102" s="181"/>
    </row>
    <row r="103" spans="1:12">
      <c r="A103" s="561"/>
      <c r="B103" s="196"/>
      <c r="C103" s="196"/>
      <c r="D103" s="196"/>
      <c r="E103" s="181"/>
      <c r="F103" s="179"/>
      <c r="G103" s="181"/>
      <c r="H103" s="179"/>
      <c r="I103" s="181"/>
      <c r="J103" s="179"/>
      <c r="K103" s="181"/>
      <c r="L103" s="181"/>
    </row>
    <row r="104" spans="1:12">
      <c r="A104" s="562"/>
      <c r="B104" s="666" t="s">
        <v>999</v>
      </c>
      <c r="C104" s="666"/>
      <c r="D104" s="666"/>
      <c r="E104" s="667"/>
      <c r="F104" s="179">
        <v>1</v>
      </c>
      <c r="G104" s="181"/>
      <c r="H104" s="179">
        <v>16.2</v>
      </c>
      <c r="I104" s="181"/>
      <c r="J104" s="179"/>
      <c r="K104" s="181"/>
      <c r="L104" s="233"/>
    </row>
    <row r="105" spans="1:12" ht="15.75" thickBot="1">
      <c r="A105" s="562"/>
      <c r="B105" s="196" t="s">
        <v>1000</v>
      </c>
      <c r="C105" s="666" t="s">
        <v>1001</v>
      </c>
      <c r="D105" s="666"/>
      <c r="E105" s="667"/>
      <c r="F105" s="179"/>
      <c r="G105" s="181"/>
      <c r="H105" s="174">
        <v>0.45</v>
      </c>
      <c r="I105" s="175"/>
      <c r="J105" s="199">
        <f>F104*H104*H105</f>
        <v>7.29</v>
      </c>
      <c r="K105" s="181"/>
      <c r="L105" s="233"/>
    </row>
    <row r="106" spans="1:12" ht="15.75" thickTop="1">
      <c r="A106" s="562"/>
      <c r="B106" s="196"/>
      <c r="C106" s="196"/>
      <c r="D106" s="196"/>
      <c r="E106" s="181"/>
      <c r="F106" s="179"/>
      <c r="G106" s="180"/>
      <c r="H106" s="184"/>
      <c r="I106" s="180"/>
      <c r="J106" s="179"/>
      <c r="K106" s="181"/>
      <c r="L106" s="233"/>
    </row>
    <row r="107" spans="1:12">
      <c r="A107" s="562"/>
      <c r="B107" s="1616" t="s">
        <v>1002</v>
      </c>
      <c r="C107" s="1616"/>
      <c r="D107" s="1616"/>
      <c r="E107" s="1617"/>
      <c r="F107" s="179">
        <v>4</v>
      </c>
      <c r="G107" s="181"/>
      <c r="H107" s="179">
        <v>1.71</v>
      </c>
      <c r="I107" s="181"/>
      <c r="J107" s="179"/>
      <c r="K107" s="181"/>
      <c r="L107" s="233"/>
    </row>
    <row r="108" spans="1:12">
      <c r="A108" s="562"/>
      <c r="B108" s="1624" t="s">
        <v>870</v>
      </c>
      <c r="C108" s="1624"/>
      <c r="D108" s="1624"/>
      <c r="E108" s="1625"/>
      <c r="F108" s="179"/>
      <c r="G108" s="181"/>
      <c r="H108" s="179">
        <v>1.75</v>
      </c>
      <c r="I108" s="181"/>
      <c r="J108" s="180"/>
      <c r="K108" s="181"/>
      <c r="L108" s="233"/>
    </row>
    <row r="109" spans="1:12" ht="15.75" thickBot="1">
      <c r="A109" s="562"/>
      <c r="B109" s="196"/>
      <c r="C109" s="196"/>
      <c r="D109" s="196"/>
      <c r="E109" s="181"/>
      <c r="F109" s="179"/>
      <c r="G109" s="181"/>
      <c r="H109" s="174"/>
      <c r="I109" s="175"/>
      <c r="J109" s="199">
        <f>F107*H107*H108</f>
        <v>11.969999999999999</v>
      </c>
      <c r="K109" s="181"/>
      <c r="L109" s="233"/>
    </row>
    <row r="110" spans="1:12" ht="15.75" thickTop="1">
      <c r="A110" s="562"/>
      <c r="B110" s="1624" t="s">
        <v>871</v>
      </c>
      <c r="C110" s="1624"/>
      <c r="D110" s="1624"/>
      <c r="E110" s="1625"/>
      <c r="F110" s="179"/>
      <c r="G110" s="181"/>
      <c r="H110" s="179"/>
      <c r="I110" s="181"/>
      <c r="J110" s="180"/>
      <c r="K110" s="181"/>
      <c r="L110" s="233"/>
    </row>
    <row r="111" spans="1:12">
      <c r="A111" s="562"/>
      <c r="B111" s="196"/>
      <c r="C111" s="196"/>
      <c r="D111" s="196"/>
      <c r="E111" s="181"/>
      <c r="F111" s="179">
        <v>2</v>
      </c>
      <c r="G111" s="181"/>
      <c r="H111" s="179">
        <v>0.85</v>
      </c>
      <c r="I111" s="181"/>
      <c r="J111" s="179"/>
      <c r="K111" s="181"/>
      <c r="L111" s="233"/>
    </row>
    <row r="112" spans="1:12">
      <c r="A112" s="562"/>
      <c r="B112" s="196"/>
      <c r="C112" s="196"/>
      <c r="D112" s="196"/>
      <c r="E112" s="181"/>
      <c r="F112" s="179"/>
      <c r="G112" s="181"/>
      <c r="H112" s="179">
        <v>1</v>
      </c>
      <c r="I112" s="181"/>
      <c r="J112" s="180"/>
      <c r="K112" s="181"/>
      <c r="L112" s="233"/>
    </row>
    <row r="113" spans="1:12" ht="15.75" thickBot="1">
      <c r="A113" s="562"/>
      <c r="B113" s="196"/>
      <c r="C113" s="196"/>
      <c r="D113" s="196"/>
      <c r="E113" s="181"/>
      <c r="F113" s="179"/>
      <c r="G113" s="181"/>
      <c r="H113" s="174"/>
      <c r="I113" s="175"/>
      <c r="J113" s="199">
        <f>F111*H111*H112</f>
        <v>1.7</v>
      </c>
      <c r="K113" s="181"/>
      <c r="L113" s="233"/>
    </row>
    <row r="114" spans="1:12" ht="16.5" thickTop="1" thickBot="1">
      <c r="A114" s="232"/>
      <c r="B114" s="1692" t="s">
        <v>142</v>
      </c>
      <c r="C114" s="1692"/>
      <c r="D114" s="1692"/>
      <c r="E114" s="1693"/>
      <c r="F114" s="179"/>
      <c r="G114" s="181"/>
      <c r="H114" s="179"/>
      <c r="I114" s="181"/>
      <c r="J114" s="478">
        <f>J109+J113</f>
        <v>13.669999999999998</v>
      </c>
      <c r="K114" s="233"/>
      <c r="L114" s="233"/>
    </row>
    <row r="115" spans="1:12" ht="15.75" thickTop="1">
      <c r="A115" s="232"/>
      <c r="B115" s="229"/>
      <c r="C115" s="229"/>
      <c r="D115" s="229"/>
      <c r="E115" s="233"/>
      <c r="F115" s="179"/>
      <c r="G115" s="181"/>
      <c r="H115" s="179"/>
      <c r="I115" s="181"/>
      <c r="J115" s="179"/>
      <c r="K115" s="233"/>
      <c r="L115" s="233"/>
    </row>
    <row r="116" spans="1:12">
      <c r="A116" s="232"/>
      <c r="B116" s="229"/>
      <c r="C116" s="229"/>
      <c r="D116" s="229"/>
      <c r="E116" s="233"/>
      <c r="F116" s="232"/>
      <c r="G116" s="233"/>
      <c r="H116" s="179"/>
      <c r="I116" s="181"/>
      <c r="J116" s="180"/>
      <c r="K116" s="181"/>
      <c r="L116" s="233"/>
    </row>
    <row r="117" spans="1:12">
      <c r="A117" s="642"/>
      <c r="B117" s="1431"/>
      <c r="C117" s="1431"/>
      <c r="D117" s="1431"/>
      <c r="E117" s="1432"/>
      <c r="F117" s="179"/>
      <c r="G117" s="181"/>
      <c r="H117" s="179"/>
      <c r="I117" s="181"/>
      <c r="J117" s="179"/>
      <c r="K117" s="181"/>
      <c r="L117" s="233"/>
    </row>
    <row r="118" spans="1:12">
      <c r="A118" s="642"/>
      <c r="B118" s="1431"/>
      <c r="C118" s="1431"/>
      <c r="D118" s="1431"/>
      <c r="E118" s="1432"/>
      <c r="F118" s="179"/>
      <c r="G118" s="181"/>
      <c r="H118" s="179"/>
      <c r="I118" s="181"/>
      <c r="J118" s="180"/>
      <c r="K118" s="181"/>
      <c r="L118" s="233"/>
    </row>
    <row r="119" spans="1:12">
      <c r="A119" s="179"/>
      <c r="B119" s="1431"/>
      <c r="C119" s="1431"/>
      <c r="D119" s="1431"/>
      <c r="E119" s="1432"/>
      <c r="F119" s="179"/>
      <c r="G119" s="181"/>
      <c r="H119" s="179"/>
      <c r="I119" s="181"/>
      <c r="J119" s="179"/>
      <c r="K119" s="181"/>
      <c r="L119" s="233"/>
    </row>
    <row r="120" spans="1:12" ht="19.5" customHeight="1">
      <c r="A120" s="179"/>
      <c r="B120" s="180"/>
      <c r="C120" s="180"/>
      <c r="D120" s="180"/>
      <c r="E120" s="181"/>
      <c r="F120" s="179"/>
      <c r="G120" s="181"/>
      <c r="H120" s="179"/>
      <c r="I120" s="181"/>
      <c r="J120" s="180"/>
      <c r="K120" s="181"/>
      <c r="L120" s="233"/>
    </row>
    <row r="121" spans="1:12">
      <c r="A121" s="642"/>
      <c r="B121" s="1431"/>
      <c r="C121" s="1431"/>
      <c r="D121" s="1431"/>
      <c r="E121" s="1432"/>
      <c r="F121" s="179"/>
      <c r="G121" s="181"/>
      <c r="H121" s="179"/>
      <c r="I121" s="181"/>
      <c r="J121" s="179"/>
      <c r="K121" s="181"/>
      <c r="L121" s="233"/>
    </row>
    <row r="122" spans="1:12">
      <c r="A122" s="214"/>
      <c r="B122" s="180"/>
      <c r="C122" s="180"/>
      <c r="D122" s="180"/>
      <c r="E122" s="181"/>
      <c r="F122" s="179"/>
      <c r="G122" s="181"/>
      <c r="H122" s="179"/>
      <c r="I122" s="181"/>
      <c r="J122" s="180"/>
      <c r="K122" s="181"/>
      <c r="L122" s="233"/>
    </row>
    <row r="123" spans="1:12">
      <c r="A123" s="214"/>
      <c r="B123" s="180"/>
      <c r="C123" s="180"/>
      <c r="D123" s="180"/>
      <c r="E123" s="181"/>
      <c r="F123" s="179"/>
      <c r="G123" s="181"/>
      <c r="H123" s="179"/>
      <c r="I123" s="181"/>
      <c r="J123" s="179"/>
      <c r="K123" s="181"/>
      <c r="L123" s="233"/>
    </row>
    <row r="124" spans="1:12">
      <c r="A124" s="642"/>
      <c r="B124" s="1692"/>
      <c r="C124" s="1692"/>
      <c r="D124" s="1692"/>
      <c r="E124" s="1693"/>
      <c r="F124" s="179"/>
      <c r="G124" s="181"/>
      <c r="H124" s="179"/>
      <c r="I124" s="181"/>
      <c r="J124" s="185"/>
      <c r="K124" s="181"/>
      <c r="L124" s="233"/>
    </row>
    <row r="125" spans="1:12" ht="15.75" thickBot="1">
      <c r="A125" s="179"/>
      <c r="B125" s="1431"/>
      <c r="C125" s="1431"/>
      <c r="D125" s="1431"/>
      <c r="E125" s="1432"/>
      <c r="F125" s="179"/>
      <c r="G125" s="181"/>
      <c r="H125" s="179"/>
      <c r="I125" s="181"/>
      <c r="J125" s="180"/>
      <c r="K125" s="245"/>
      <c r="L125" s="233"/>
    </row>
    <row r="126" spans="1:12" ht="15.75" thickTop="1">
      <c r="A126" s="179"/>
      <c r="B126" s="1435"/>
      <c r="C126" s="1435"/>
      <c r="D126" s="1435"/>
      <c r="E126" s="1436"/>
      <c r="F126" s="179"/>
      <c r="G126" s="181"/>
      <c r="H126" s="179"/>
      <c r="I126" s="181"/>
      <c r="J126" s="174"/>
      <c r="K126" s="233"/>
      <c r="L126" s="237"/>
    </row>
    <row r="127" spans="1:12">
      <c r="A127" s="238"/>
      <c r="B127" s="239" t="s">
        <v>10</v>
      </c>
      <c r="C127" s="239" t="s">
        <v>18</v>
      </c>
      <c r="D127" s="240" t="s">
        <v>19</v>
      </c>
      <c r="E127" s="241"/>
      <c r="F127" s="241"/>
      <c r="G127" s="241"/>
      <c r="H127" s="241"/>
      <c r="I127" s="241"/>
      <c r="J127" s="231"/>
      <c r="K127" s="242"/>
      <c r="L127" s="242"/>
    </row>
    <row r="128" spans="1:12">
      <c r="A128" s="243" t="s">
        <v>15</v>
      </c>
      <c r="B128" s="238"/>
      <c r="C128" s="238"/>
      <c r="D128" s="244"/>
      <c r="E128" s="241"/>
      <c r="F128" s="241"/>
      <c r="G128" s="241"/>
      <c r="H128" s="241"/>
      <c r="I128" s="241"/>
      <c r="J128" s="241"/>
      <c r="K128" s="242"/>
      <c r="L128" s="242"/>
    </row>
    <row r="129" spans="1:12">
      <c r="A129" s="243" t="s">
        <v>16</v>
      </c>
      <c r="B129" s="238"/>
      <c r="C129" s="238"/>
      <c r="D129" s="244"/>
      <c r="E129" s="241"/>
      <c r="F129" s="241"/>
      <c r="G129" s="241"/>
      <c r="H129" s="241"/>
      <c r="I129" s="241"/>
      <c r="J129" s="241"/>
      <c r="K129" s="242"/>
      <c r="L129" s="242"/>
    </row>
    <row r="130" spans="1:12">
      <c r="A130" s="243" t="s">
        <v>553</v>
      </c>
      <c r="B130" s="238"/>
      <c r="C130" s="238"/>
      <c r="D130" s="244"/>
      <c r="E130" s="241"/>
      <c r="F130" s="241"/>
      <c r="G130" s="241"/>
      <c r="H130" s="241"/>
      <c r="I130" s="241"/>
      <c r="J130" s="241"/>
      <c r="K130" s="242"/>
      <c r="L130" s="242"/>
    </row>
    <row r="131" spans="1:12">
      <c r="A131" s="1578" t="s">
        <v>0</v>
      </c>
      <c r="B131" s="1579"/>
      <c r="C131" s="1580" t="s">
        <v>4</v>
      </c>
      <c r="D131" s="1581"/>
      <c r="E131" s="1582"/>
      <c r="F131" s="200" t="s">
        <v>7</v>
      </c>
      <c r="G131" s="201"/>
      <c r="H131" s="202" t="s">
        <v>8</v>
      </c>
      <c r="I131" s="201"/>
      <c r="J131" s="202" t="s">
        <v>61</v>
      </c>
      <c r="K131" s="644"/>
      <c r="L131" s="201"/>
    </row>
    <row r="132" spans="1:12">
      <c r="A132" s="459" t="s">
        <v>552</v>
      </c>
      <c r="B132" s="169"/>
      <c r="C132" s="1583"/>
      <c r="D132" s="1584"/>
      <c r="E132" s="1585"/>
      <c r="F132" s="1595">
        <v>15</v>
      </c>
      <c r="G132" s="1596"/>
      <c r="H132" s="1586"/>
      <c r="I132" s="1587"/>
      <c r="J132" s="1586">
        <v>2</v>
      </c>
      <c r="K132" s="1712"/>
      <c r="L132" s="1587"/>
    </row>
    <row r="133" spans="1:12">
      <c r="A133" s="170" t="s">
        <v>2</v>
      </c>
      <c r="B133" s="171"/>
      <c r="C133" s="167" t="s">
        <v>5</v>
      </c>
      <c r="D133" s="172"/>
      <c r="E133" s="166"/>
      <c r="F133" s="165" t="s">
        <v>9</v>
      </c>
      <c r="G133" s="172"/>
      <c r="H133" s="172"/>
      <c r="I133" s="172"/>
      <c r="J133" s="172"/>
      <c r="K133" s="166"/>
      <c r="L133" s="166"/>
    </row>
    <row r="134" spans="1:12">
      <c r="A134" s="169" t="s">
        <v>490</v>
      </c>
      <c r="B134" s="173"/>
      <c r="C134" s="174"/>
      <c r="D134" s="456">
        <v>2</v>
      </c>
      <c r="E134" s="175"/>
      <c r="F134" s="176" t="s">
        <v>869</v>
      </c>
      <c r="G134" s="643"/>
      <c r="H134" s="643"/>
      <c r="I134" s="177"/>
      <c r="J134" s="177"/>
      <c r="K134" s="175"/>
      <c r="L134" s="175"/>
    </row>
    <row r="135" spans="1:12">
      <c r="A135" s="170" t="s">
        <v>491</v>
      </c>
      <c r="B135" s="282"/>
      <c r="C135" s="165" t="s">
        <v>6</v>
      </c>
      <c r="D135" s="172"/>
      <c r="E135" s="166"/>
      <c r="F135" s="165" t="s">
        <v>10</v>
      </c>
      <c r="G135" s="172"/>
      <c r="H135" s="172"/>
      <c r="I135" s="172"/>
      <c r="J135" s="172"/>
      <c r="K135" s="166"/>
      <c r="L135" s="166"/>
    </row>
    <row r="136" spans="1:12">
      <c r="A136" s="169"/>
      <c r="B136" s="173"/>
      <c r="C136" s="174"/>
      <c r="D136" s="177"/>
      <c r="E136" s="175"/>
      <c r="F136" s="178"/>
      <c r="G136" s="177"/>
      <c r="H136" s="177"/>
      <c r="I136" s="177"/>
      <c r="J136" s="177"/>
      <c r="K136" s="175"/>
      <c r="L136" s="175"/>
    </row>
    <row r="137" spans="1:12">
      <c r="A137" s="179"/>
      <c r="B137" s="180"/>
      <c r="C137" s="180"/>
      <c r="D137" s="180"/>
      <c r="E137" s="180"/>
      <c r="F137" s="180"/>
      <c r="G137" s="180"/>
      <c r="H137" s="180"/>
      <c r="I137" s="180"/>
      <c r="J137" s="180"/>
      <c r="K137" s="181"/>
      <c r="L137" s="181"/>
    </row>
    <row r="138" spans="1:12">
      <c r="A138" s="182" t="s">
        <v>11</v>
      </c>
      <c r="B138" s="183"/>
      <c r="C138" s="172"/>
      <c r="D138" s="172"/>
      <c r="E138" s="166"/>
      <c r="F138" s="184" t="s">
        <v>12</v>
      </c>
      <c r="G138" s="166"/>
      <c r="H138" s="184" t="s">
        <v>13</v>
      </c>
      <c r="I138" s="166"/>
      <c r="J138" s="184" t="s">
        <v>14</v>
      </c>
      <c r="K138" s="166"/>
      <c r="L138" s="166"/>
    </row>
    <row r="139" spans="1:12">
      <c r="A139" s="197"/>
      <c r="B139" s="229"/>
      <c r="C139" s="229"/>
      <c r="D139" s="229"/>
      <c r="E139" s="233"/>
      <c r="F139" s="232"/>
      <c r="G139" s="233"/>
      <c r="H139" s="232"/>
      <c r="I139" s="233"/>
      <c r="J139" s="232"/>
      <c r="K139" s="233"/>
      <c r="L139" s="233"/>
    </row>
    <row r="140" spans="1:12" ht="15.75">
      <c r="A140" s="1681" t="s">
        <v>772</v>
      </c>
      <c r="B140" s="1682"/>
      <c r="C140" s="1682"/>
      <c r="D140" s="1682"/>
      <c r="E140" s="1683"/>
      <c r="F140" s="179">
        <v>1</v>
      </c>
      <c r="G140" s="181"/>
      <c r="H140" s="179">
        <v>4</v>
      </c>
      <c r="I140" s="181"/>
      <c r="J140" s="179"/>
      <c r="K140" s="233"/>
      <c r="L140" s="233"/>
    </row>
    <row r="141" spans="1:12">
      <c r="A141" s="670" t="s">
        <v>773</v>
      </c>
      <c r="B141" s="1431" t="s">
        <v>875</v>
      </c>
      <c r="C141" s="1431"/>
      <c r="D141" s="1431"/>
      <c r="E141" s="1432"/>
      <c r="F141" s="179"/>
      <c r="G141" s="181"/>
      <c r="H141" s="179">
        <v>2</v>
      </c>
      <c r="I141" s="181"/>
      <c r="J141" s="180"/>
      <c r="K141" s="181"/>
      <c r="L141" s="181"/>
    </row>
    <row r="142" spans="1:12" ht="15.75" thickBot="1">
      <c r="A142" s="179"/>
      <c r="B142" s="1431"/>
      <c r="C142" s="1431"/>
      <c r="D142" s="1431"/>
      <c r="E142" s="1432"/>
      <c r="F142" s="179"/>
      <c r="G142" s="181"/>
      <c r="H142" s="174">
        <v>1.5</v>
      </c>
      <c r="I142" s="175"/>
      <c r="J142" s="199">
        <f>F140*H140*H141*H142</f>
        <v>12</v>
      </c>
      <c r="K142" s="181"/>
      <c r="L142" s="181"/>
    </row>
    <row r="143" spans="1:12" ht="15.75" thickTop="1">
      <c r="A143" s="179"/>
      <c r="B143" s="180"/>
      <c r="C143" s="180"/>
      <c r="D143" s="180"/>
      <c r="E143" s="181"/>
      <c r="F143" s="179"/>
      <c r="G143" s="181"/>
      <c r="H143" s="179"/>
      <c r="I143" s="181"/>
      <c r="J143" s="180"/>
      <c r="K143" s="181"/>
      <c r="L143" s="181"/>
    </row>
    <row r="144" spans="1:12">
      <c r="A144" s="670" t="s">
        <v>775</v>
      </c>
      <c r="B144" s="1431" t="s">
        <v>876</v>
      </c>
      <c r="C144" s="1431"/>
      <c r="D144" s="1431"/>
      <c r="E144" s="1432"/>
      <c r="F144" s="179">
        <v>1</v>
      </c>
      <c r="G144" s="181"/>
      <c r="H144" s="179">
        <v>4</v>
      </c>
      <c r="I144" s="181"/>
      <c r="J144" s="180"/>
      <c r="K144" s="181"/>
      <c r="L144" s="181"/>
    </row>
    <row r="145" spans="1:12">
      <c r="A145" s="214"/>
      <c r="B145" s="180"/>
      <c r="C145" s="180"/>
      <c r="D145" s="180"/>
      <c r="E145" s="181"/>
      <c r="F145" s="179"/>
      <c r="G145" s="181"/>
      <c r="H145" s="179">
        <v>2</v>
      </c>
      <c r="I145" s="181"/>
      <c r="J145" s="180"/>
      <c r="K145" s="181"/>
      <c r="L145" s="181"/>
    </row>
    <row r="146" spans="1:12" ht="15.75" thickBot="1">
      <c r="A146" s="214"/>
      <c r="B146" s="180"/>
      <c r="C146" s="180"/>
      <c r="D146" s="180"/>
      <c r="E146" s="181"/>
      <c r="F146" s="179"/>
      <c r="G146" s="181"/>
      <c r="H146" s="174">
        <v>1.5</v>
      </c>
      <c r="I146" s="175"/>
      <c r="J146" s="199">
        <f>F144*H144*H145*H146</f>
        <v>12</v>
      </c>
      <c r="K146" s="181"/>
      <c r="L146" s="181"/>
    </row>
    <row r="147" spans="1:12" ht="15.75" thickTop="1">
      <c r="A147" s="1686" t="s">
        <v>877</v>
      </c>
      <c r="B147" s="1687"/>
      <c r="C147" s="180"/>
      <c r="D147" s="180"/>
      <c r="E147" s="181"/>
      <c r="F147" s="179"/>
      <c r="G147" s="181"/>
      <c r="H147" s="179"/>
      <c r="I147" s="181"/>
      <c r="J147" s="179"/>
      <c r="K147" s="181"/>
      <c r="L147" s="181"/>
    </row>
    <row r="148" spans="1:12">
      <c r="A148" s="670" t="s">
        <v>776</v>
      </c>
      <c r="B148" s="1431" t="s">
        <v>878</v>
      </c>
      <c r="C148" s="1431"/>
      <c r="D148" s="1431"/>
      <c r="E148" s="1432"/>
      <c r="F148" s="179">
        <v>1</v>
      </c>
      <c r="G148" s="181"/>
      <c r="H148" s="179">
        <v>4</v>
      </c>
      <c r="I148" s="181"/>
      <c r="J148" s="179"/>
      <c r="K148" s="181"/>
      <c r="L148" s="181"/>
    </row>
    <row r="149" spans="1:12">
      <c r="A149" s="179"/>
      <c r="B149" s="1431"/>
      <c r="C149" s="1431"/>
      <c r="D149" s="1431"/>
      <c r="E149" s="1432"/>
      <c r="F149" s="179"/>
      <c r="G149" s="181"/>
      <c r="H149" s="179">
        <v>2</v>
      </c>
      <c r="I149" s="181"/>
      <c r="J149" s="180"/>
      <c r="K149" s="181"/>
      <c r="L149" s="181"/>
    </row>
    <row r="150" spans="1:12" ht="15.75" thickBot="1">
      <c r="A150" s="179"/>
      <c r="B150" s="180"/>
      <c r="C150" s="180"/>
      <c r="D150" s="180"/>
      <c r="E150" s="181"/>
      <c r="F150" s="179"/>
      <c r="G150" s="181"/>
      <c r="H150" s="174"/>
      <c r="I150" s="175"/>
      <c r="J150" s="199">
        <f>F148*H148*H149</f>
        <v>8</v>
      </c>
      <c r="K150" s="181"/>
      <c r="L150" s="181"/>
    </row>
    <row r="151" spans="1:12" ht="15.75" thickTop="1">
      <c r="A151" s="670" t="s">
        <v>777</v>
      </c>
      <c r="B151" s="1431" t="s">
        <v>879</v>
      </c>
      <c r="C151" s="1431"/>
      <c r="D151" s="1431"/>
      <c r="E151" s="1432"/>
      <c r="F151" s="179">
        <v>1</v>
      </c>
      <c r="G151" s="181"/>
      <c r="H151" s="179">
        <v>4</v>
      </c>
      <c r="I151" s="181"/>
      <c r="J151" s="179"/>
      <c r="K151" s="233"/>
      <c r="L151" s="181"/>
    </row>
    <row r="152" spans="1:12">
      <c r="A152" s="284"/>
      <c r="B152" s="180"/>
      <c r="C152" s="180"/>
      <c r="D152" s="180"/>
      <c r="E152" s="181"/>
      <c r="F152" s="179"/>
      <c r="G152" s="181"/>
      <c r="H152" s="179">
        <v>2</v>
      </c>
      <c r="I152" s="181"/>
      <c r="J152" s="180"/>
      <c r="K152" s="181"/>
      <c r="L152" s="181"/>
    </row>
    <row r="153" spans="1:12" ht="15.75" thickBot="1">
      <c r="A153" s="232"/>
      <c r="B153" s="229"/>
      <c r="C153" s="229"/>
      <c r="D153" s="229"/>
      <c r="E153" s="233"/>
      <c r="F153" s="179"/>
      <c r="G153" s="181"/>
      <c r="H153" s="174">
        <v>0.4</v>
      </c>
      <c r="I153" s="175"/>
      <c r="J153" s="199">
        <f>F151*H151*H152*H153</f>
        <v>3.2</v>
      </c>
      <c r="K153" s="181"/>
      <c r="L153" s="181"/>
    </row>
    <row r="154" spans="1:12" ht="15.75" thickTop="1">
      <c r="A154" s="232"/>
      <c r="B154" s="229"/>
      <c r="C154" s="229"/>
      <c r="D154" s="229"/>
      <c r="E154" s="233"/>
      <c r="F154" s="232"/>
      <c r="G154" s="233"/>
      <c r="H154" s="179"/>
      <c r="I154" s="181"/>
      <c r="J154" s="180"/>
      <c r="K154" s="181"/>
      <c r="L154" s="181"/>
    </row>
    <row r="155" spans="1:12">
      <c r="A155" s="670" t="s">
        <v>789</v>
      </c>
      <c r="B155" s="1431" t="s">
        <v>880</v>
      </c>
      <c r="C155" s="1431"/>
      <c r="D155" s="1431"/>
      <c r="E155" s="1432"/>
      <c r="F155" s="179">
        <v>2</v>
      </c>
      <c r="G155" s="181"/>
      <c r="H155" s="179">
        <v>1.66</v>
      </c>
      <c r="I155" s="181"/>
      <c r="J155" s="179"/>
      <c r="K155" s="181"/>
      <c r="L155" s="181"/>
    </row>
    <row r="156" spans="1:12">
      <c r="A156" s="670"/>
      <c r="B156" s="1431"/>
      <c r="C156" s="1431"/>
      <c r="D156" s="1431"/>
      <c r="E156" s="1432"/>
      <c r="F156" s="179"/>
      <c r="G156" s="181"/>
      <c r="H156" s="179">
        <v>1.7</v>
      </c>
      <c r="I156" s="181"/>
      <c r="J156" s="180"/>
      <c r="K156" s="181"/>
      <c r="L156" s="181"/>
    </row>
    <row r="157" spans="1:12" ht="15.75" thickBot="1">
      <c r="A157" s="179"/>
      <c r="B157" s="1431"/>
      <c r="C157" s="1431"/>
      <c r="D157" s="1431"/>
      <c r="E157" s="1432"/>
      <c r="F157" s="179"/>
      <c r="G157" s="181"/>
      <c r="H157" s="174">
        <v>0.4</v>
      </c>
      <c r="I157" s="175"/>
      <c r="J157" s="199">
        <f>F155*H155*H156*H157</f>
        <v>2.2575999999999996</v>
      </c>
      <c r="K157" s="181"/>
      <c r="L157" s="181"/>
    </row>
    <row r="158" spans="1:12" ht="15.75" thickTop="1">
      <c r="A158" s="179"/>
      <c r="B158" s="180"/>
      <c r="C158" s="180"/>
      <c r="D158" s="180"/>
      <c r="E158" s="181"/>
      <c r="F158" s="179"/>
      <c r="G158" s="181"/>
      <c r="H158" s="179"/>
      <c r="I158" s="181"/>
      <c r="J158" s="180"/>
      <c r="K158" s="181"/>
      <c r="L158" s="181"/>
    </row>
    <row r="159" spans="1:12">
      <c r="A159" s="670"/>
      <c r="B159" s="1431" t="s">
        <v>881</v>
      </c>
      <c r="C159" s="1431"/>
      <c r="D159" s="1431"/>
      <c r="E159" s="1432"/>
      <c r="F159" s="179">
        <v>1</v>
      </c>
      <c r="G159" s="181"/>
      <c r="H159" s="179">
        <v>0.8</v>
      </c>
      <c r="I159" s="181"/>
      <c r="J159" s="179"/>
      <c r="K159" s="181"/>
      <c r="L159" s="181"/>
    </row>
    <row r="160" spans="1:12">
      <c r="A160" s="214"/>
      <c r="B160" s="180"/>
      <c r="C160" s="180"/>
      <c r="D160" s="180"/>
      <c r="E160" s="181"/>
      <c r="F160" s="179"/>
      <c r="G160" s="181"/>
      <c r="H160" s="179">
        <v>0.95</v>
      </c>
      <c r="I160" s="181"/>
      <c r="J160" s="180"/>
      <c r="K160" s="181"/>
      <c r="L160" s="181"/>
    </row>
    <row r="161" spans="1:12" ht="15.75" thickBot="1">
      <c r="A161" s="214"/>
      <c r="B161" s="180"/>
      <c r="C161" s="180"/>
      <c r="D161" s="180"/>
      <c r="E161" s="181"/>
      <c r="F161" s="179"/>
      <c r="G161" s="181"/>
      <c r="H161" s="174">
        <v>1.7</v>
      </c>
      <c r="I161" s="175"/>
      <c r="J161" s="199">
        <f>F159*H159*H160*H161</f>
        <v>1.292</v>
      </c>
      <c r="K161" s="181"/>
      <c r="L161" s="181"/>
    </row>
    <row r="162" spans="1:12" ht="16.5" thickTop="1" thickBot="1">
      <c r="A162" s="670"/>
      <c r="B162" s="1692" t="s">
        <v>142</v>
      </c>
      <c r="C162" s="1692"/>
      <c r="D162" s="1692"/>
      <c r="E162" s="1693"/>
      <c r="F162" s="179"/>
      <c r="G162" s="181"/>
      <c r="H162" s="179"/>
      <c r="I162" s="181"/>
      <c r="J162" s="478">
        <f>J157+J161</f>
        <v>3.5495999999999999</v>
      </c>
      <c r="K162" s="233"/>
      <c r="L162" s="181"/>
    </row>
    <row r="163" spans="1:12" ht="15.75" thickTop="1">
      <c r="A163" s="179"/>
      <c r="B163" s="1431"/>
      <c r="C163" s="1431"/>
      <c r="D163" s="1431"/>
      <c r="E163" s="1432"/>
      <c r="F163" s="179"/>
      <c r="G163" s="181"/>
      <c r="H163" s="179"/>
      <c r="I163" s="181"/>
      <c r="J163" s="180"/>
      <c r="K163" s="181"/>
      <c r="L163" s="181"/>
    </row>
    <row r="164" spans="1:12" ht="15.75" thickBot="1">
      <c r="A164" s="665" t="s">
        <v>793</v>
      </c>
      <c r="B164" s="1431" t="s">
        <v>882</v>
      </c>
      <c r="C164" s="1431"/>
      <c r="D164" s="1431"/>
      <c r="E164" s="1432"/>
      <c r="F164" s="179">
        <v>1</v>
      </c>
      <c r="G164" s="181"/>
      <c r="H164" s="179"/>
      <c r="I164" s="181"/>
      <c r="J164" s="199">
        <v>5.9</v>
      </c>
      <c r="K164" s="181"/>
      <c r="L164" s="181"/>
    </row>
    <row r="165" spans="1:12" ht="15.75" thickTop="1">
      <c r="A165" s="180"/>
      <c r="B165" s="661"/>
      <c r="C165" s="661"/>
      <c r="D165" s="661"/>
      <c r="E165" s="662"/>
      <c r="F165" s="179"/>
      <c r="G165" s="180"/>
      <c r="H165" s="179"/>
      <c r="I165" s="180"/>
      <c r="J165" s="179"/>
      <c r="K165" s="181"/>
      <c r="L165" s="181"/>
    </row>
    <row r="166" spans="1:12" ht="15.75">
      <c r="A166" s="720" t="s">
        <v>997</v>
      </c>
      <c r="B166" s="563" t="s">
        <v>998</v>
      </c>
      <c r="C166" s="129"/>
      <c r="D166" s="130"/>
      <c r="E166" s="181"/>
      <c r="F166" s="179"/>
      <c r="G166" s="180"/>
      <c r="H166" s="179"/>
      <c r="I166" s="180"/>
      <c r="J166" s="179"/>
      <c r="K166" s="181"/>
      <c r="L166" s="181"/>
    </row>
    <row r="167" spans="1:12">
      <c r="A167" s="561"/>
      <c r="B167" s="196"/>
      <c r="C167" s="196"/>
      <c r="D167" s="196"/>
      <c r="E167" s="181"/>
      <c r="F167" s="179"/>
      <c r="G167" s="181"/>
      <c r="H167" s="179"/>
      <c r="I167" s="181"/>
      <c r="J167" s="179"/>
      <c r="K167" s="181"/>
      <c r="L167" s="181"/>
    </row>
    <row r="168" spans="1:12">
      <c r="A168" s="562"/>
      <c r="B168" s="666" t="s">
        <v>999</v>
      </c>
      <c r="C168" s="666"/>
      <c r="D168" s="666"/>
      <c r="E168" s="667"/>
      <c r="F168" s="179">
        <v>1</v>
      </c>
      <c r="G168" s="181"/>
      <c r="H168" s="179">
        <v>16.2</v>
      </c>
      <c r="I168" s="181"/>
      <c r="J168" s="179"/>
      <c r="K168" s="181"/>
      <c r="L168" s="233"/>
    </row>
    <row r="169" spans="1:12" ht="15.75" thickBot="1">
      <c r="A169" s="562"/>
      <c r="B169" s="196" t="s">
        <v>1000</v>
      </c>
      <c r="C169" s="666" t="s">
        <v>1001</v>
      </c>
      <c r="D169" s="666"/>
      <c r="E169" s="667"/>
      <c r="F169" s="179"/>
      <c r="G169" s="181"/>
      <c r="H169" s="174">
        <v>0.45</v>
      </c>
      <c r="I169" s="175"/>
      <c r="J169" s="199">
        <f>F168*H168*H169</f>
        <v>7.29</v>
      </c>
      <c r="K169" s="181"/>
      <c r="L169" s="233"/>
    </row>
    <row r="170" spans="1:12" ht="15.75" thickTop="1">
      <c r="A170" s="562"/>
      <c r="B170" s="196"/>
      <c r="C170" s="196"/>
      <c r="D170" s="196"/>
      <c r="E170" s="181"/>
      <c r="F170" s="179"/>
      <c r="G170" s="180"/>
      <c r="H170" s="184"/>
      <c r="I170" s="180"/>
      <c r="J170" s="179"/>
      <c r="K170" s="181"/>
      <c r="L170" s="233"/>
    </row>
    <row r="171" spans="1:12">
      <c r="A171" s="562"/>
      <c r="B171" s="1616" t="s">
        <v>1002</v>
      </c>
      <c r="C171" s="1616"/>
      <c r="D171" s="1616"/>
      <c r="E171" s="1617"/>
      <c r="F171" s="179">
        <v>4</v>
      </c>
      <c r="G171" s="181"/>
      <c r="H171" s="179">
        <v>1.71</v>
      </c>
      <c r="I171" s="181"/>
      <c r="J171" s="179"/>
      <c r="K171" s="181"/>
      <c r="L171" s="233"/>
    </row>
    <row r="172" spans="1:12">
      <c r="A172" s="562"/>
      <c r="B172" s="1624" t="s">
        <v>870</v>
      </c>
      <c r="C172" s="1624"/>
      <c r="D172" s="1624"/>
      <c r="E172" s="1625"/>
      <c r="F172" s="179"/>
      <c r="G172" s="181"/>
      <c r="H172" s="179">
        <v>1.75</v>
      </c>
      <c r="I172" s="181"/>
      <c r="J172" s="180"/>
      <c r="K172" s="181"/>
      <c r="L172" s="233"/>
    </row>
    <row r="173" spans="1:12" ht="15.75" thickBot="1">
      <c r="A173" s="562"/>
      <c r="B173" s="196"/>
      <c r="C173" s="196"/>
      <c r="D173" s="196"/>
      <c r="E173" s="181"/>
      <c r="F173" s="179"/>
      <c r="G173" s="181"/>
      <c r="H173" s="174"/>
      <c r="I173" s="175"/>
      <c r="J173" s="199">
        <f>F171*H171*H172</f>
        <v>11.969999999999999</v>
      </c>
      <c r="K173" s="181"/>
      <c r="L173" s="233"/>
    </row>
    <row r="174" spans="1:12" ht="15.75" thickTop="1">
      <c r="A174" s="562"/>
      <c r="B174" s="1624" t="s">
        <v>871</v>
      </c>
      <c r="C174" s="1624"/>
      <c r="D174" s="1624"/>
      <c r="E174" s="1625"/>
      <c r="F174" s="179"/>
      <c r="G174" s="181"/>
      <c r="H174" s="179"/>
      <c r="I174" s="181"/>
      <c r="J174" s="180"/>
      <c r="K174" s="181"/>
      <c r="L174" s="233"/>
    </row>
    <row r="175" spans="1:12">
      <c r="A175" s="562"/>
      <c r="B175" s="196"/>
      <c r="C175" s="196"/>
      <c r="D175" s="196"/>
      <c r="E175" s="181"/>
      <c r="F175" s="179">
        <v>2</v>
      </c>
      <c r="G175" s="181"/>
      <c r="H175" s="179">
        <v>0.85</v>
      </c>
      <c r="I175" s="181"/>
      <c r="J175" s="179"/>
      <c r="K175" s="181"/>
      <c r="L175" s="233"/>
    </row>
    <row r="176" spans="1:12">
      <c r="A176" s="562"/>
      <c r="B176" s="196"/>
      <c r="C176" s="196"/>
      <c r="D176" s="196"/>
      <c r="E176" s="181"/>
      <c r="F176" s="179"/>
      <c r="G176" s="181"/>
      <c r="H176" s="179">
        <v>1</v>
      </c>
      <c r="I176" s="181"/>
      <c r="J176" s="180"/>
      <c r="K176" s="181"/>
      <c r="L176" s="233"/>
    </row>
    <row r="177" spans="1:12" ht="15.75" thickBot="1">
      <c r="A177" s="562"/>
      <c r="B177" s="196"/>
      <c r="C177" s="196"/>
      <c r="D177" s="196"/>
      <c r="E177" s="181"/>
      <c r="F177" s="179"/>
      <c r="G177" s="181"/>
      <c r="H177" s="174"/>
      <c r="I177" s="175"/>
      <c r="J177" s="199">
        <f>F175*H175*H176</f>
        <v>1.7</v>
      </c>
      <c r="K177" s="181"/>
      <c r="L177" s="233"/>
    </row>
    <row r="178" spans="1:12" ht="16.5" thickTop="1" thickBot="1">
      <c r="A178" s="232"/>
      <c r="B178" s="1692" t="s">
        <v>142</v>
      </c>
      <c r="C178" s="1692"/>
      <c r="D178" s="1692"/>
      <c r="E178" s="1693"/>
      <c r="F178" s="179"/>
      <c r="G178" s="181"/>
      <c r="H178" s="179"/>
      <c r="I178" s="181"/>
      <c r="J178" s="478">
        <f>J173+J177</f>
        <v>13.669999999999998</v>
      </c>
      <c r="K178" s="233"/>
      <c r="L178" s="233"/>
    </row>
    <row r="179" spans="1:12" ht="15.75" thickTop="1">
      <c r="A179" s="232"/>
      <c r="B179" s="229"/>
      <c r="C179" s="229"/>
      <c r="D179" s="229"/>
      <c r="E179" s="233"/>
      <c r="F179" s="179"/>
      <c r="G179" s="181"/>
      <c r="H179" s="179"/>
      <c r="I179" s="181"/>
      <c r="J179" s="179"/>
      <c r="K179" s="233"/>
      <c r="L179" s="233"/>
    </row>
    <row r="180" spans="1:12">
      <c r="A180" s="232"/>
      <c r="B180" s="229"/>
      <c r="C180" s="229"/>
      <c r="D180" s="229"/>
      <c r="E180" s="233"/>
      <c r="F180" s="232"/>
      <c r="G180" s="233"/>
      <c r="H180" s="179"/>
      <c r="I180" s="181"/>
      <c r="J180" s="180"/>
      <c r="K180" s="181"/>
      <c r="L180" s="233"/>
    </row>
    <row r="181" spans="1:12">
      <c r="A181" s="670"/>
      <c r="B181" s="1431"/>
      <c r="C181" s="1431"/>
      <c r="D181" s="1431"/>
      <c r="E181" s="1432"/>
      <c r="F181" s="179"/>
      <c r="G181" s="181"/>
      <c r="H181" s="179"/>
      <c r="I181" s="181"/>
      <c r="J181" s="179"/>
      <c r="K181" s="181"/>
      <c r="L181" s="233"/>
    </row>
    <row r="182" spans="1:12">
      <c r="A182" s="670"/>
      <c r="B182" s="1431"/>
      <c r="C182" s="1431"/>
      <c r="D182" s="1431"/>
      <c r="E182" s="1432"/>
      <c r="F182" s="179"/>
      <c r="G182" s="181"/>
      <c r="H182" s="179"/>
      <c r="I182" s="181"/>
      <c r="J182" s="180"/>
      <c r="K182" s="181"/>
      <c r="L182" s="233"/>
    </row>
    <row r="183" spans="1:12">
      <c r="A183" s="179"/>
      <c r="B183" s="1431"/>
      <c r="C183" s="1431"/>
      <c r="D183" s="1431"/>
      <c r="E183" s="1432"/>
      <c r="F183" s="179"/>
      <c r="G183" s="181"/>
      <c r="H183" s="179"/>
      <c r="I183" s="181"/>
      <c r="J183" s="179"/>
      <c r="K183" s="181"/>
      <c r="L183" s="233"/>
    </row>
    <row r="184" spans="1:12">
      <c r="A184" s="179"/>
      <c r="B184" s="180"/>
      <c r="C184" s="180"/>
      <c r="D184" s="180"/>
      <c r="E184" s="181"/>
      <c r="F184" s="179"/>
      <c r="G184" s="181"/>
      <c r="H184" s="179"/>
      <c r="I184" s="181"/>
      <c r="J184" s="180"/>
      <c r="K184" s="181"/>
      <c r="L184" s="233"/>
    </row>
    <row r="185" spans="1:12">
      <c r="A185" s="670"/>
      <c r="B185" s="1431"/>
      <c r="C185" s="1431"/>
      <c r="D185" s="1431"/>
      <c r="E185" s="1432"/>
      <c r="F185" s="179"/>
      <c r="G185" s="181"/>
      <c r="H185" s="179"/>
      <c r="I185" s="181"/>
      <c r="J185" s="179"/>
      <c r="K185" s="181"/>
      <c r="L185" s="233"/>
    </row>
    <row r="186" spans="1:12">
      <c r="A186" s="214"/>
      <c r="B186" s="180"/>
      <c r="C186" s="180"/>
      <c r="D186" s="180"/>
      <c r="E186" s="181"/>
      <c r="F186" s="179"/>
      <c r="G186" s="181"/>
      <c r="H186" s="179"/>
      <c r="I186" s="181"/>
      <c r="J186" s="180"/>
      <c r="K186" s="181"/>
      <c r="L186" s="233"/>
    </row>
    <row r="187" spans="1:12">
      <c r="A187" s="214"/>
      <c r="B187" s="180"/>
      <c r="C187" s="180"/>
      <c r="D187" s="180"/>
      <c r="E187" s="181"/>
      <c r="F187" s="179"/>
      <c r="G187" s="181"/>
      <c r="H187" s="179"/>
      <c r="I187" s="181"/>
      <c r="J187" s="179"/>
      <c r="K187" s="181"/>
      <c r="L187" s="233"/>
    </row>
    <row r="188" spans="1:12">
      <c r="A188" s="670"/>
      <c r="B188" s="1692"/>
      <c r="C188" s="1692"/>
      <c r="D188" s="1692"/>
      <c r="E188" s="1693"/>
      <c r="F188" s="179"/>
      <c r="G188" s="181"/>
      <c r="H188" s="179"/>
      <c r="I188" s="181"/>
      <c r="J188" s="185"/>
      <c r="K188" s="181"/>
      <c r="L188" s="233"/>
    </row>
    <row r="189" spans="1:12" ht="15.75" thickBot="1">
      <c r="A189" s="179"/>
      <c r="B189" s="1431"/>
      <c r="C189" s="1431"/>
      <c r="D189" s="1431"/>
      <c r="E189" s="1432"/>
      <c r="F189" s="179"/>
      <c r="G189" s="181"/>
      <c r="H189" s="179"/>
      <c r="I189" s="181"/>
      <c r="J189" s="180"/>
      <c r="K189" s="245"/>
      <c r="L189" s="233"/>
    </row>
    <row r="190" spans="1:12" ht="15.75" thickTop="1">
      <c r="A190" s="179"/>
      <c r="B190" s="1435"/>
      <c r="C190" s="1435"/>
      <c r="D190" s="1435"/>
      <c r="E190" s="1436"/>
      <c r="F190" s="179"/>
      <c r="G190" s="181"/>
      <c r="H190" s="179"/>
      <c r="I190" s="181"/>
      <c r="J190" s="174"/>
      <c r="K190" s="230"/>
      <c r="L190" s="237"/>
    </row>
    <row r="191" spans="1:12">
      <c r="A191" s="238"/>
      <c r="B191" s="239" t="s">
        <v>10</v>
      </c>
      <c r="C191" s="239" t="s">
        <v>18</v>
      </c>
      <c r="D191" s="240" t="s">
        <v>19</v>
      </c>
      <c r="E191" s="241"/>
      <c r="F191" s="241"/>
      <c r="G191" s="241"/>
      <c r="H191" s="241"/>
      <c r="I191" s="241"/>
      <c r="J191" s="231"/>
      <c r="K191" s="230"/>
      <c r="L191" s="242"/>
    </row>
    <row r="192" spans="1:12">
      <c r="A192" s="243" t="s">
        <v>15</v>
      </c>
      <c r="B192" s="238"/>
      <c r="C192" s="238"/>
      <c r="D192" s="244"/>
      <c r="E192" s="241"/>
      <c r="F192" s="241"/>
      <c r="G192" s="241"/>
      <c r="H192" s="241"/>
      <c r="I192" s="241"/>
      <c r="J192" s="241"/>
      <c r="K192" s="242"/>
      <c r="L192" s="242"/>
    </row>
    <row r="193" spans="1:12">
      <c r="A193" s="243" t="s">
        <v>16</v>
      </c>
      <c r="B193" s="238"/>
      <c r="C193" s="238"/>
      <c r="D193" s="244"/>
      <c r="E193" s="241"/>
      <c r="F193" s="241"/>
      <c r="G193" s="241"/>
      <c r="H193" s="241"/>
      <c r="I193" s="241"/>
      <c r="J193" s="241"/>
      <c r="K193" s="242"/>
      <c r="L193" s="242"/>
    </row>
    <row r="194" spans="1:12">
      <c r="A194" s="243" t="s">
        <v>553</v>
      </c>
      <c r="B194" s="238"/>
      <c r="C194" s="238"/>
      <c r="D194" s="244"/>
      <c r="E194" s="241"/>
      <c r="F194" s="241"/>
      <c r="G194" s="241"/>
      <c r="H194" s="241"/>
      <c r="I194" s="241"/>
      <c r="J194" s="241"/>
      <c r="K194" s="242"/>
      <c r="L194" s="242"/>
    </row>
    <row r="195" spans="1:12">
      <c r="A195" s="1578" t="s">
        <v>0</v>
      </c>
      <c r="B195" s="1579"/>
      <c r="C195" s="1580" t="s">
        <v>4</v>
      </c>
      <c r="D195" s="1581"/>
      <c r="E195" s="1582"/>
      <c r="F195" s="200" t="s">
        <v>7</v>
      </c>
      <c r="G195" s="201"/>
      <c r="H195" s="202" t="s">
        <v>8</v>
      </c>
      <c r="I195" s="201"/>
      <c r="J195" s="202" t="s">
        <v>61</v>
      </c>
      <c r="K195" s="644"/>
      <c r="L195" s="201"/>
    </row>
    <row r="196" spans="1:12">
      <c r="A196" s="459" t="s">
        <v>552</v>
      </c>
      <c r="B196" s="169"/>
      <c r="C196" s="1583"/>
      <c r="D196" s="1584"/>
      <c r="E196" s="1585"/>
      <c r="F196" s="1595">
        <v>15</v>
      </c>
      <c r="G196" s="1596"/>
      <c r="H196" s="1586"/>
      <c r="I196" s="1587"/>
      <c r="J196" s="1586">
        <v>2</v>
      </c>
      <c r="K196" s="1712"/>
      <c r="L196" s="1587"/>
    </row>
    <row r="197" spans="1:12">
      <c r="A197" s="170" t="s">
        <v>2</v>
      </c>
      <c r="B197" s="171"/>
      <c r="C197" s="167" t="s">
        <v>5</v>
      </c>
      <c r="D197" s="172"/>
      <c r="E197" s="166"/>
      <c r="F197" s="165" t="s">
        <v>9</v>
      </c>
      <c r="G197" s="172"/>
      <c r="H197" s="172"/>
      <c r="I197" s="172"/>
      <c r="J197" s="172"/>
      <c r="K197" s="166"/>
      <c r="L197" s="166"/>
    </row>
    <row r="198" spans="1:12">
      <c r="A198" s="169" t="s">
        <v>490</v>
      </c>
      <c r="B198" s="173"/>
      <c r="C198" s="174"/>
      <c r="D198" s="456">
        <v>2</v>
      </c>
      <c r="E198" s="175"/>
      <c r="F198" s="176" t="s">
        <v>869</v>
      </c>
      <c r="G198" s="643"/>
      <c r="H198" s="643"/>
      <c r="I198" s="177"/>
      <c r="J198" s="177"/>
      <c r="K198" s="175"/>
      <c r="L198" s="175"/>
    </row>
    <row r="199" spans="1:12">
      <c r="A199" s="170" t="s">
        <v>491</v>
      </c>
      <c r="B199" s="282"/>
      <c r="C199" s="165" t="s">
        <v>6</v>
      </c>
      <c r="D199" s="172"/>
      <c r="E199" s="166"/>
      <c r="F199" s="165" t="s">
        <v>10</v>
      </c>
      <c r="G199" s="172"/>
      <c r="H199" s="172"/>
      <c r="I199" s="172"/>
      <c r="J199" s="172"/>
      <c r="K199" s="166"/>
      <c r="L199" s="166"/>
    </row>
    <row r="200" spans="1:12">
      <c r="A200" s="169"/>
      <c r="B200" s="173"/>
      <c r="C200" s="174"/>
      <c r="D200" s="177"/>
      <c r="E200" s="175"/>
      <c r="F200" s="178"/>
      <c r="G200" s="177"/>
      <c r="H200" s="177"/>
      <c r="I200" s="177"/>
      <c r="J200" s="177"/>
      <c r="K200" s="175"/>
      <c r="L200" s="175"/>
    </row>
    <row r="201" spans="1:12">
      <c r="A201" s="179"/>
      <c r="B201" s="180"/>
      <c r="C201" s="180"/>
      <c r="D201" s="180"/>
      <c r="E201" s="180"/>
      <c r="F201" s="180"/>
      <c r="G201" s="180"/>
      <c r="H201" s="180"/>
      <c r="I201" s="180"/>
      <c r="J201" s="180"/>
      <c r="K201" s="181"/>
      <c r="L201" s="181"/>
    </row>
    <row r="202" spans="1:12">
      <c r="A202" s="182" t="s">
        <v>11</v>
      </c>
      <c r="B202" s="183"/>
      <c r="C202" s="172"/>
      <c r="D202" s="172"/>
      <c r="E202" s="166"/>
      <c r="F202" s="184" t="s">
        <v>12</v>
      </c>
      <c r="G202" s="166"/>
      <c r="H202" s="184" t="s">
        <v>13</v>
      </c>
      <c r="I202" s="166"/>
      <c r="J202" s="184" t="s">
        <v>14</v>
      </c>
      <c r="K202" s="166"/>
      <c r="L202" s="166"/>
    </row>
    <row r="203" spans="1:12">
      <c r="A203" s="197"/>
      <c r="B203" s="229"/>
      <c r="C203" s="229"/>
      <c r="D203" s="229"/>
      <c r="E203" s="233"/>
      <c r="F203" s="232"/>
      <c r="G203" s="233"/>
      <c r="H203" s="232"/>
      <c r="I203" s="233"/>
      <c r="J203" s="232"/>
      <c r="K203" s="233"/>
      <c r="L203" s="233"/>
    </row>
    <row r="204" spans="1:12" ht="15.75">
      <c r="A204" s="1681" t="s">
        <v>778</v>
      </c>
      <c r="B204" s="1682"/>
      <c r="C204" s="1682"/>
      <c r="D204" s="1682"/>
      <c r="E204" s="1683"/>
      <c r="F204" s="179">
        <v>1</v>
      </c>
      <c r="G204" s="181"/>
      <c r="H204" s="179">
        <v>4</v>
      </c>
      <c r="I204" s="181"/>
      <c r="J204" s="179"/>
      <c r="K204" s="233"/>
      <c r="L204" s="233"/>
    </row>
    <row r="205" spans="1:12">
      <c r="A205" s="670" t="s">
        <v>773</v>
      </c>
      <c r="B205" s="1431" t="s">
        <v>875</v>
      </c>
      <c r="C205" s="1431"/>
      <c r="D205" s="1431"/>
      <c r="E205" s="1432"/>
      <c r="F205" s="179"/>
      <c r="G205" s="181"/>
      <c r="H205" s="179">
        <v>2</v>
      </c>
      <c r="I205" s="181"/>
      <c r="J205" s="180"/>
      <c r="K205" s="181"/>
      <c r="L205" s="181"/>
    </row>
    <row r="206" spans="1:12" ht="15.75" thickBot="1">
      <c r="A206" s="179"/>
      <c r="B206" s="1431"/>
      <c r="C206" s="1431"/>
      <c r="D206" s="1431"/>
      <c r="E206" s="1432"/>
      <c r="F206" s="179"/>
      <c r="G206" s="181"/>
      <c r="H206" s="174">
        <v>1.5</v>
      </c>
      <c r="I206" s="175"/>
      <c r="J206" s="199">
        <f>F204*H204*H205*H206</f>
        <v>12</v>
      </c>
      <c r="K206" s="181"/>
      <c r="L206" s="181"/>
    </row>
    <row r="207" spans="1:12" ht="15.75" thickTop="1">
      <c r="A207" s="179"/>
      <c r="B207" s="180"/>
      <c r="C207" s="180"/>
      <c r="D207" s="180"/>
      <c r="E207" s="181"/>
      <c r="F207" s="179"/>
      <c r="G207" s="181"/>
      <c r="H207" s="179"/>
      <c r="I207" s="181"/>
      <c r="J207" s="180"/>
      <c r="K207" s="181"/>
      <c r="L207" s="181"/>
    </row>
    <row r="208" spans="1:12">
      <c r="A208" s="670" t="s">
        <v>775</v>
      </c>
      <c r="B208" s="1431" t="s">
        <v>876</v>
      </c>
      <c r="C208" s="1431"/>
      <c r="D208" s="1431"/>
      <c r="E208" s="1432"/>
      <c r="F208" s="179">
        <v>1</v>
      </c>
      <c r="G208" s="181"/>
      <c r="H208" s="179">
        <v>4</v>
      </c>
      <c r="I208" s="181"/>
      <c r="J208" s="180"/>
      <c r="K208" s="181"/>
      <c r="L208" s="181"/>
    </row>
    <row r="209" spans="1:12">
      <c r="A209" s="214"/>
      <c r="B209" s="180"/>
      <c r="C209" s="180"/>
      <c r="D209" s="180"/>
      <c r="E209" s="181"/>
      <c r="F209" s="179"/>
      <c r="G209" s="181"/>
      <c r="H209" s="179">
        <v>2</v>
      </c>
      <c r="I209" s="181"/>
      <c r="J209" s="180"/>
      <c r="K209" s="181"/>
      <c r="L209" s="181"/>
    </row>
    <row r="210" spans="1:12" ht="15.75" thickBot="1">
      <c r="A210" s="214"/>
      <c r="B210" s="180"/>
      <c r="C210" s="180"/>
      <c r="D210" s="180"/>
      <c r="E210" s="181"/>
      <c r="F210" s="179"/>
      <c r="G210" s="181"/>
      <c r="H210" s="174">
        <v>1.5</v>
      </c>
      <c r="I210" s="175"/>
      <c r="J210" s="199">
        <f>F208*H208*H209*H210</f>
        <v>12</v>
      </c>
      <c r="K210" s="181"/>
      <c r="L210" s="181"/>
    </row>
    <row r="211" spans="1:12" ht="15.75" thickTop="1">
      <c r="A211" s="1686" t="s">
        <v>877</v>
      </c>
      <c r="B211" s="1687"/>
      <c r="C211" s="180"/>
      <c r="D211" s="180"/>
      <c r="E211" s="181"/>
      <c r="F211" s="179"/>
      <c r="G211" s="181"/>
      <c r="H211" s="179"/>
      <c r="I211" s="181"/>
      <c r="J211" s="179"/>
      <c r="K211" s="181"/>
      <c r="L211" s="181"/>
    </row>
    <row r="212" spans="1:12">
      <c r="A212" s="670" t="s">
        <v>776</v>
      </c>
      <c r="B212" s="1431" t="s">
        <v>878</v>
      </c>
      <c r="C212" s="1431"/>
      <c r="D212" s="1431"/>
      <c r="E212" s="1432"/>
      <c r="F212" s="179">
        <v>1</v>
      </c>
      <c r="G212" s="181"/>
      <c r="H212" s="179">
        <v>4</v>
      </c>
      <c r="I212" s="181"/>
      <c r="J212" s="179"/>
      <c r="K212" s="181"/>
      <c r="L212" s="181"/>
    </row>
    <row r="213" spans="1:12">
      <c r="A213" s="179"/>
      <c r="B213" s="1431"/>
      <c r="C213" s="1431"/>
      <c r="D213" s="1431"/>
      <c r="E213" s="1432"/>
      <c r="F213" s="179"/>
      <c r="G213" s="181"/>
      <c r="H213" s="179">
        <v>2</v>
      </c>
      <c r="I213" s="181"/>
      <c r="J213" s="180"/>
      <c r="K213" s="181"/>
      <c r="L213" s="181"/>
    </row>
    <row r="214" spans="1:12" ht="15.75" thickBot="1">
      <c r="A214" s="179"/>
      <c r="B214" s="180"/>
      <c r="C214" s="180"/>
      <c r="D214" s="180"/>
      <c r="E214" s="181"/>
      <c r="F214" s="179"/>
      <c r="G214" s="181"/>
      <c r="H214" s="174"/>
      <c r="I214" s="175"/>
      <c r="J214" s="199">
        <f>F212*H212*H213</f>
        <v>8</v>
      </c>
      <c r="K214" s="181"/>
      <c r="L214" s="181"/>
    </row>
    <row r="215" spans="1:12" ht="15.75" thickTop="1">
      <c r="A215" s="670" t="s">
        <v>777</v>
      </c>
      <c r="B215" s="1431" t="s">
        <v>879</v>
      </c>
      <c r="C215" s="1431"/>
      <c r="D215" s="1431"/>
      <c r="E215" s="1432"/>
      <c r="F215" s="179">
        <v>1</v>
      </c>
      <c r="G215" s="181"/>
      <c r="H215" s="179">
        <v>4</v>
      </c>
      <c r="I215" s="181"/>
      <c r="J215" s="179"/>
      <c r="K215" s="233"/>
      <c r="L215" s="181"/>
    </row>
    <row r="216" spans="1:12">
      <c r="A216" s="284"/>
      <c r="B216" s="180"/>
      <c r="C216" s="180"/>
      <c r="D216" s="180"/>
      <c r="E216" s="181"/>
      <c r="F216" s="179"/>
      <c r="G216" s="181"/>
      <c r="H216" s="179">
        <v>2</v>
      </c>
      <c r="I216" s="181"/>
      <c r="J216" s="180"/>
      <c r="K216" s="181"/>
      <c r="L216" s="181"/>
    </row>
    <row r="217" spans="1:12" ht="15.75" thickBot="1">
      <c r="A217" s="232"/>
      <c r="B217" s="229"/>
      <c r="C217" s="229"/>
      <c r="D217" s="229"/>
      <c r="E217" s="233"/>
      <c r="F217" s="179"/>
      <c r="G217" s="181"/>
      <c r="H217" s="174">
        <v>0.4</v>
      </c>
      <c r="I217" s="175"/>
      <c r="J217" s="199">
        <f>F215*H215*H216*H217</f>
        <v>3.2</v>
      </c>
      <c r="K217" s="181"/>
      <c r="L217" s="181"/>
    </row>
    <row r="218" spans="1:12" ht="15.75" thickTop="1">
      <c r="A218" s="232"/>
      <c r="B218" s="229"/>
      <c r="C218" s="229"/>
      <c r="D218" s="229"/>
      <c r="E218" s="233"/>
      <c r="F218" s="232"/>
      <c r="G218" s="233"/>
      <c r="H218" s="179"/>
      <c r="I218" s="181"/>
      <c r="J218" s="180"/>
      <c r="K218" s="181"/>
      <c r="L218" s="181"/>
    </row>
    <row r="219" spans="1:12">
      <c r="A219" s="670" t="s">
        <v>789</v>
      </c>
      <c r="B219" s="1431" t="s">
        <v>880</v>
      </c>
      <c r="C219" s="1431"/>
      <c r="D219" s="1431"/>
      <c r="E219" s="1432"/>
      <c r="F219" s="179">
        <v>2</v>
      </c>
      <c r="G219" s="181"/>
      <c r="H219" s="179">
        <v>1.66</v>
      </c>
      <c r="I219" s="181"/>
      <c r="J219" s="179"/>
      <c r="K219" s="181"/>
      <c r="L219" s="181"/>
    </row>
    <row r="220" spans="1:12">
      <c r="A220" s="670"/>
      <c r="B220" s="1431"/>
      <c r="C220" s="1431"/>
      <c r="D220" s="1431"/>
      <c r="E220" s="1432"/>
      <c r="F220" s="179"/>
      <c r="G220" s="181"/>
      <c r="H220" s="179">
        <v>1.7</v>
      </c>
      <c r="I220" s="181"/>
      <c r="J220" s="180"/>
      <c r="K220" s="181"/>
      <c r="L220" s="181"/>
    </row>
    <row r="221" spans="1:12" ht="15.75" thickBot="1">
      <c r="A221" s="179"/>
      <c r="B221" s="1431"/>
      <c r="C221" s="1431"/>
      <c r="D221" s="1431"/>
      <c r="E221" s="1432"/>
      <c r="F221" s="179"/>
      <c r="G221" s="181"/>
      <c r="H221" s="174">
        <v>0.4</v>
      </c>
      <c r="I221" s="175"/>
      <c r="J221" s="199">
        <f>F219*H219*H220*H221</f>
        <v>2.2575999999999996</v>
      </c>
      <c r="K221" s="181"/>
      <c r="L221" s="181"/>
    </row>
    <row r="222" spans="1:12" ht="15.75" thickTop="1">
      <c r="A222" s="179"/>
      <c r="B222" s="180"/>
      <c r="C222" s="180"/>
      <c r="D222" s="180"/>
      <c r="E222" s="181"/>
      <c r="F222" s="179"/>
      <c r="G222" s="181"/>
      <c r="H222" s="179"/>
      <c r="I222" s="181"/>
      <c r="J222" s="180"/>
      <c r="K222" s="181"/>
      <c r="L222" s="181"/>
    </row>
    <row r="223" spans="1:12">
      <c r="A223" s="670"/>
      <c r="B223" s="1431" t="s">
        <v>881</v>
      </c>
      <c r="C223" s="1431"/>
      <c r="D223" s="1431"/>
      <c r="E223" s="1432"/>
      <c r="F223" s="179">
        <v>1</v>
      </c>
      <c r="G223" s="181"/>
      <c r="H223" s="179">
        <v>0.8</v>
      </c>
      <c r="I223" s="181"/>
      <c r="J223" s="179"/>
      <c r="K223" s="181"/>
      <c r="L223" s="181"/>
    </row>
    <row r="224" spans="1:12">
      <c r="A224" s="214"/>
      <c r="B224" s="180"/>
      <c r="C224" s="180"/>
      <c r="D224" s="180"/>
      <c r="E224" s="181"/>
      <c r="F224" s="179"/>
      <c r="G224" s="181"/>
      <c r="H224" s="179">
        <v>0.95</v>
      </c>
      <c r="I224" s="181"/>
      <c r="J224" s="180"/>
      <c r="K224" s="181"/>
      <c r="L224" s="181"/>
    </row>
    <row r="225" spans="1:12" ht="15.75" thickBot="1">
      <c r="A225" s="214"/>
      <c r="B225" s="180"/>
      <c r="C225" s="180"/>
      <c r="D225" s="180"/>
      <c r="E225" s="181"/>
      <c r="F225" s="179"/>
      <c r="G225" s="181"/>
      <c r="H225" s="174">
        <v>1.7</v>
      </c>
      <c r="I225" s="175"/>
      <c r="J225" s="199">
        <f>F223*H223*H224*H225</f>
        <v>1.292</v>
      </c>
      <c r="K225" s="181"/>
      <c r="L225" s="181"/>
    </row>
    <row r="226" spans="1:12" ht="16.5" thickTop="1" thickBot="1">
      <c r="A226" s="670"/>
      <c r="B226" s="1692" t="s">
        <v>142</v>
      </c>
      <c r="C226" s="1692"/>
      <c r="D226" s="1692"/>
      <c r="E226" s="1693"/>
      <c r="F226" s="179"/>
      <c r="G226" s="181"/>
      <c r="H226" s="179"/>
      <c r="I226" s="181"/>
      <c r="J226" s="478">
        <f>J221+J225</f>
        <v>3.5495999999999999</v>
      </c>
      <c r="K226" s="233"/>
      <c r="L226" s="181"/>
    </row>
    <row r="227" spans="1:12" ht="15.75" thickTop="1">
      <c r="A227" s="179"/>
      <c r="B227" s="1431"/>
      <c r="C227" s="1431"/>
      <c r="D227" s="1431"/>
      <c r="E227" s="1432"/>
      <c r="F227" s="179"/>
      <c r="G227" s="181"/>
      <c r="H227" s="179"/>
      <c r="I227" s="181"/>
      <c r="J227" s="180"/>
      <c r="K227" s="181"/>
      <c r="L227" s="181"/>
    </row>
    <row r="228" spans="1:12" ht="15.75" thickBot="1">
      <c r="A228" s="665" t="s">
        <v>793</v>
      </c>
      <c r="B228" s="1431" t="s">
        <v>882</v>
      </c>
      <c r="C228" s="1431"/>
      <c r="D228" s="1431"/>
      <c r="E228" s="1432"/>
      <c r="F228" s="179">
        <v>1</v>
      </c>
      <c r="G228" s="181"/>
      <c r="H228" s="179"/>
      <c r="I228" s="181"/>
      <c r="J228" s="199">
        <v>5.9</v>
      </c>
      <c r="K228" s="181"/>
      <c r="L228" s="181"/>
    </row>
    <row r="229" spans="1:12" ht="15.75" thickTop="1">
      <c r="A229" s="180"/>
      <c r="B229" s="661"/>
      <c r="C229" s="661"/>
      <c r="D229" s="661"/>
      <c r="E229" s="662"/>
      <c r="F229" s="179"/>
      <c r="G229" s="180"/>
      <c r="H229" s="179"/>
      <c r="I229" s="180"/>
      <c r="J229" s="179"/>
      <c r="K229" s="181"/>
      <c r="L229" s="181"/>
    </row>
    <row r="230" spans="1:12" ht="15.75">
      <c r="A230" s="720" t="s">
        <v>997</v>
      </c>
      <c r="B230" s="563" t="s">
        <v>998</v>
      </c>
      <c r="C230" s="129"/>
      <c r="D230" s="130"/>
      <c r="E230" s="181"/>
      <c r="F230" s="179"/>
      <c r="G230" s="180"/>
      <c r="H230" s="179"/>
      <c r="I230" s="180"/>
      <c r="J230" s="179"/>
      <c r="K230" s="181"/>
      <c r="L230" s="181"/>
    </row>
    <row r="231" spans="1:12">
      <c r="A231" s="561"/>
      <c r="B231" s="196"/>
      <c r="C231" s="196"/>
      <c r="D231" s="196"/>
      <c r="E231" s="181"/>
      <c r="F231" s="179"/>
      <c r="G231" s="181"/>
      <c r="H231" s="179"/>
      <c r="I231" s="181"/>
      <c r="J231" s="179"/>
      <c r="K231" s="181"/>
      <c r="L231" s="181"/>
    </row>
    <row r="232" spans="1:12">
      <c r="A232" s="562"/>
      <c r="B232" s="666" t="s">
        <v>999</v>
      </c>
      <c r="C232" s="666"/>
      <c r="D232" s="666"/>
      <c r="E232" s="667"/>
      <c r="F232" s="179">
        <v>1</v>
      </c>
      <c r="G232" s="181"/>
      <c r="H232" s="179">
        <v>16.2</v>
      </c>
      <c r="I232" s="181"/>
      <c r="J232" s="179"/>
      <c r="K232" s="181"/>
      <c r="L232" s="233"/>
    </row>
    <row r="233" spans="1:12" ht="15.75" thickBot="1">
      <c r="A233" s="562"/>
      <c r="B233" s="196" t="s">
        <v>1000</v>
      </c>
      <c r="C233" s="666" t="s">
        <v>1001</v>
      </c>
      <c r="D233" s="666"/>
      <c r="E233" s="667"/>
      <c r="F233" s="179"/>
      <c r="G233" s="181"/>
      <c r="H233" s="174">
        <v>0.45</v>
      </c>
      <c r="I233" s="175"/>
      <c r="J233" s="199">
        <f>F232*H232*H233</f>
        <v>7.29</v>
      </c>
      <c r="K233" s="181"/>
      <c r="L233" s="233"/>
    </row>
    <row r="234" spans="1:12" ht="15.75" thickTop="1">
      <c r="A234" s="562"/>
      <c r="B234" s="196"/>
      <c r="C234" s="196"/>
      <c r="D234" s="196"/>
      <c r="E234" s="181"/>
      <c r="F234" s="179"/>
      <c r="G234" s="180"/>
      <c r="H234" s="184"/>
      <c r="I234" s="180"/>
      <c r="J234" s="179"/>
      <c r="K234" s="181"/>
      <c r="L234" s="233"/>
    </row>
    <row r="235" spans="1:12">
      <c r="A235" s="562"/>
      <c r="B235" s="1616" t="s">
        <v>1002</v>
      </c>
      <c r="C235" s="1616"/>
      <c r="D235" s="1616"/>
      <c r="E235" s="1617"/>
      <c r="F235" s="179">
        <v>4</v>
      </c>
      <c r="G235" s="181"/>
      <c r="H235" s="179">
        <v>1.71</v>
      </c>
      <c r="I235" s="181"/>
      <c r="J235" s="179"/>
      <c r="K235" s="181"/>
      <c r="L235" s="233"/>
    </row>
    <row r="236" spans="1:12">
      <c r="A236" s="562"/>
      <c r="B236" s="1624" t="s">
        <v>870</v>
      </c>
      <c r="C236" s="1624"/>
      <c r="D236" s="1624"/>
      <c r="E236" s="1625"/>
      <c r="F236" s="179"/>
      <c r="G236" s="181"/>
      <c r="H236" s="179">
        <v>1.75</v>
      </c>
      <c r="I236" s="181"/>
      <c r="J236" s="180"/>
      <c r="K236" s="181"/>
      <c r="L236" s="233"/>
    </row>
    <row r="237" spans="1:12" ht="15.75" thickBot="1">
      <c r="A237" s="562"/>
      <c r="B237" s="196"/>
      <c r="C237" s="196"/>
      <c r="D237" s="196"/>
      <c r="E237" s="181"/>
      <c r="F237" s="179"/>
      <c r="G237" s="181"/>
      <c r="H237" s="174"/>
      <c r="I237" s="175"/>
      <c r="J237" s="199">
        <f>F235*H235*H236</f>
        <v>11.969999999999999</v>
      </c>
      <c r="K237" s="181"/>
      <c r="L237" s="233"/>
    </row>
    <row r="238" spans="1:12" ht="15.75" thickTop="1">
      <c r="A238" s="562"/>
      <c r="B238" s="1624" t="s">
        <v>871</v>
      </c>
      <c r="C238" s="1624"/>
      <c r="D238" s="1624"/>
      <c r="E238" s="1625"/>
      <c r="F238" s="179"/>
      <c r="G238" s="181"/>
      <c r="H238" s="179"/>
      <c r="I238" s="181"/>
      <c r="J238" s="180"/>
      <c r="K238" s="181"/>
      <c r="L238" s="233"/>
    </row>
    <row r="239" spans="1:12">
      <c r="A239" s="562"/>
      <c r="B239" s="196"/>
      <c r="C239" s="196"/>
      <c r="D239" s="196"/>
      <c r="E239" s="181"/>
      <c r="F239" s="179">
        <v>2</v>
      </c>
      <c r="G239" s="181"/>
      <c r="H239" s="179">
        <v>0.85</v>
      </c>
      <c r="I239" s="181"/>
      <c r="J239" s="179"/>
      <c r="K239" s="181"/>
      <c r="L239" s="233"/>
    </row>
    <row r="240" spans="1:12">
      <c r="A240" s="562"/>
      <c r="B240" s="196"/>
      <c r="C240" s="196"/>
      <c r="D240" s="196"/>
      <c r="E240" s="181"/>
      <c r="F240" s="179"/>
      <c r="G240" s="181"/>
      <c r="H240" s="179">
        <v>1</v>
      </c>
      <c r="I240" s="181"/>
      <c r="J240" s="180"/>
      <c r="K240" s="181"/>
      <c r="L240" s="233"/>
    </row>
    <row r="241" spans="1:12" ht="15.75" thickBot="1">
      <c r="A241" s="562"/>
      <c r="B241" s="196"/>
      <c r="C241" s="196"/>
      <c r="D241" s="196"/>
      <c r="E241" s="181"/>
      <c r="F241" s="179"/>
      <c r="G241" s="181"/>
      <c r="H241" s="174"/>
      <c r="I241" s="175"/>
      <c r="J241" s="199">
        <f>F239*H239*H240</f>
        <v>1.7</v>
      </c>
      <c r="K241" s="181"/>
      <c r="L241" s="233"/>
    </row>
    <row r="242" spans="1:12" ht="16.5" thickTop="1" thickBot="1">
      <c r="A242" s="232"/>
      <c r="B242" s="1692" t="s">
        <v>142</v>
      </c>
      <c r="C242" s="1692"/>
      <c r="D242" s="1692"/>
      <c r="E242" s="1693"/>
      <c r="F242" s="179"/>
      <c r="G242" s="181"/>
      <c r="H242" s="179"/>
      <c r="I242" s="181"/>
      <c r="J242" s="478">
        <f>J237+J241</f>
        <v>13.669999999999998</v>
      </c>
      <c r="K242" s="233"/>
      <c r="L242" s="233"/>
    </row>
    <row r="243" spans="1:12" ht="15.75" thickTop="1">
      <c r="A243" s="232"/>
      <c r="B243" s="229"/>
      <c r="C243" s="229"/>
      <c r="D243" s="229"/>
      <c r="E243" s="233"/>
      <c r="F243" s="179"/>
      <c r="G243" s="181"/>
      <c r="H243" s="179"/>
      <c r="I243" s="181"/>
      <c r="J243" s="179"/>
      <c r="K243" s="233"/>
      <c r="L243" s="233"/>
    </row>
    <row r="244" spans="1:12">
      <c r="A244" s="232"/>
      <c r="B244" s="229"/>
      <c r="C244" s="229"/>
      <c r="D244" s="229"/>
      <c r="E244" s="233"/>
      <c r="F244" s="232"/>
      <c r="G244" s="233"/>
      <c r="H244" s="179"/>
      <c r="I244" s="181"/>
      <c r="J244" s="180"/>
      <c r="K244" s="181"/>
      <c r="L244" s="233"/>
    </row>
    <row r="245" spans="1:12">
      <c r="A245" s="670"/>
      <c r="B245" s="1431"/>
      <c r="C245" s="1431"/>
      <c r="D245" s="1431"/>
      <c r="E245" s="1432"/>
      <c r="F245" s="179"/>
      <c r="G245" s="181"/>
      <c r="H245" s="179"/>
      <c r="I245" s="181"/>
      <c r="J245" s="179"/>
      <c r="K245" s="181"/>
      <c r="L245" s="233"/>
    </row>
    <row r="246" spans="1:12">
      <c r="A246" s="670"/>
      <c r="B246" s="1431"/>
      <c r="C246" s="1431"/>
      <c r="D246" s="1431"/>
      <c r="E246" s="1432"/>
      <c r="F246" s="179"/>
      <c r="G246" s="181"/>
      <c r="H246" s="179"/>
      <c r="I246" s="181"/>
      <c r="J246" s="180"/>
      <c r="K246" s="181"/>
      <c r="L246" s="233"/>
    </row>
    <row r="247" spans="1:12">
      <c r="A247" s="179"/>
      <c r="B247" s="1431"/>
      <c r="C247" s="1431"/>
      <c r="D247" s="1431"/>
      <c r="E247" s="1432"/>
      <c r="F247" s="179"/>
      <c r="G247" s="181"/>
      <c r="H247" s="179"/>
      <c r="I247" s="181"/>
      <c r="J247" s="179"/>
      <c r="K247" s="181"/>
      <c r="L247" s="233"/>
    </row>
    <row r="248" spans="1:12">
      <c r="A248" s="179"/>
      <c r="B248" s="180"/>
      <c r="C248" s="180"/>
      <c r="D248" s="180"/>
      <c r="E248" s="181"/>
      <c r="F248" s="179"/>
      <c r="G248" s="181"/>
      <c r="H248" s="179"/>
      <c r="I248" s="181"/>
      <c r="J248" s="180"/>
      <c r="K248" s="181"/>
      <c r="L248" s="233"/>
    </row>
    <row r="249" spans="1:12">
      <c r="A249" s="670"/>
      <c r="B249" s="1431"/>
      <c r="C249" s="1431"/>
      <c r="D249" s="1431"/>
      <c r="E249" s="1432"/>
      <c r="F249" s="179"/>
      <c r="G249" s="181"/>
      <c r="H249" s="179"/>
      <c r="I249" s="181"/>
      <c r="J249" s="179"/>
      <c r="K249" s="181"/>
      <c r="L249" s="233"/>
    </row>
    <row r="250" spans="1:12">
      <c r="A250" s="214"/>
      <c r="B250" s="180"/>
      <c r="C250" s="180"/>
      <c r="D250" s="180"/>
      <c r="E250" s="181"/>
      <c r="F250" s="179"/>
      <c r="G250" s="181"/>
      <c r="H250" s="179"/>
      <c r="I250" s="181"/>
      <c r="J250" s="180"/>
      <c r="K250" s="181"/>
      <c r="L250" s="233"/>
    </row>
    <row r="251" spans="1:12">
      <c r="A251" s="214"/>
      <c r="B251" s="180"/>
      <c r="C251" s="180"/>
      <c r="D251" s="180"/>
      <c r="E251" s="181"/>
      <c r="F251" s="179"/>
      <c r="G251" s="181"/>
      <c r="H251" s="179"/>
      <c r="I251" s="181"/>
      <c r="J251" s="179"/>
      <c r="K251" s="181"/>
      <c r="L251" s="233"/>
    </row>
    <row r="252" spans="1:12">
      <c r="A252" s="670"/>
      <c r="B252" s="1692"/>
      <c r="C252" s="1692"/>
      <c r="D252" s="1692"/>
      <c r="E252" s="1693"/>
      <c r="F252" s="179"/>
      <c r="G252" s="181"/>
      <c r="H252" s="179"/>
      <c r="I252" s="181"/>
      <c r="J252" s="185"/>
      <c r="K252" s="181"/>
      <c r="L252" s="233"/>
    </row>
    <row r="253" spans="1:12" ht="15.75" thickBot="1">
      <c r="A253" s="179"/>
      <c r="B253" s="1431"/>
      <c r="C253" s="1431"/>
      <c r="D253" s="1431"/>
      <c r="E253" s="1432"/>
      <c r="F253" s="179"/>
      <c r="G253" s="181"/>
      <c r="H253" s="179"/>
      <c r="I253" s="181"/>
      <c r="J253" s="180"/>
      <c r="K253" s="245"/>
      <c r="L253" s="233"/>
    </row>
    <row r="254" spans="1:12" ht="15.75" thickTop="1">
      <c r="A254" s="179"/>
      <c r="B254" s="1435"/>
      <c r="C254" s="1435"/>
      <c r="D254" s="1435"/>
      <c r="E254" s="1436"/>
      <c r="F254" s="179"/>
      <c r="G254" s="181"/>
      <c r="H254" s="179"/>
      <c r="I254" s="181"/>
      <c r="J254" s="174"/>
      <c r="K254" s="230"/>
      <c r="L254" s="237"/>
    </row>
    <row r="255" spans="1:12">
      <c r="A255" s="238"/>
      <c r="B255" s="239" t="s">
        <v>10</v>
      </c>
      <c r="C255" s="239" t="s">
        <v>18</v>
      </c>
      <c r="D255" s="240" t="s">
        <v>19</v>
      </c>
      <c r="E255" s="241"/>
      <c r="F255" s="241"/>
      <c r="G255" s="241"/>
      <c r="H255" s="241"/>
      <c r="I255" s="241"/>
      <c r="J255" s="231"/>
      <c r="K255" s="230"/>
      <c r="L255" s="242"/>
    </row>
    <row r="256" spans="1:12">
      <c r="A256" s="243" t="s">
        <v>15</v>
      </c>
      <c r="B256" s="238"/>
      <c r="C256" s="238"/>
      <c r="D256" s="244"/>
      <c r="E256" s="241"/>
      <c r="F256" s="241"/>
      <c r="G256" s="241"/>
      <c r="H256" s="241"/>
      <c r="I256" s="241"/>
      <c r="J256" s="241"/>
      <c r="K256" s="242"/>
      <c r="L256" s="242"/>
    </row>
    <row r="257" spans="1:12">
      <c r="A257" s="243" t="s">
        <v>16</v>
      </c>
      <c r="B257" s="238"/>
      <c r="C257" s="238"/>
      <c r="D257" s="244"/>
      <c r="E257" s="241"/>
      <c r="F257" s="241"/>
      <c r="G257" s="241"/>
      <c r="H257" s="241"/>
      <c r="I257" s="241"/>
      <c r="J257" s="241"/>
      <c r="K257" s="242"/>
      <c r="L257" s="242"/>
    </row>
    <row r="258" spans="1:12">
      <c r="A258" s="243" t="s">
        <v>553</v>
      </c>
      <c r="B258" s="238"/>
      <c r="C258" s="238"/>
      <c r="D258" s="244"/>
      <c r="E258" s="241"/>
      <c r="F258" s="241"/>
      <c r="G258" s="241"/>
      <c r="H258" s="241"/>
      <c r="I258" s="241"/>
      <c r="J258" s="241"/>
      <c r="K258" s="242"/>
      <c r="L258" s="242"/>
    </row>
  </sheetData>
  <mergeCells count="124">
    <mergeCell ref="B254:E254"/>
    <mergeCell ref="B246:E246"/>
    <mergeCell ref="B247:E247"/>
    <mergeCell ref="B249:E249"/>
    <mergeCell ref="B252:E252"/>
    <mergeCell ref="B253:E253"/>
    <mergeCell ref="B235:E235"/>
    <mergeCell ref="B236:E236"/>
    <mergeCell ref="B238:E238"/>
    <mergeCell ref="B242:E242"/>
    <mergeCell ref="B245:E245"/>
    <mergeCell ref="B221:E221"/>
    <mergeCell ref="B223:E223"/>
    <mergeCell ref="B226:E226"/>
    <mergeCell ref="B227:E227"/>
    <mergeCell ref="B228:E228"/>
    <mergeCell ref="B212:E212"/>
    <mergeCell ref="B213:E213"/>
    <mergeCell ref="B215:E215"/>
    <mergeCell ref="B219:E219"/>
    <mergeCell ref="B220:E220"/>
    <mergeCell ref="A204:E204"/>
    <mergeCell ref="B205:E205"/>
    <mergeCell ref="B206:E206"/>
    <mergeCell ref="B208:E208"/>
    <mergeCell ref="A211:B211"/>
    <mergeCell ref="A195:B195"/>
    <mergeCell ref="C195:E196"/>
    <mergeCell ref="F196:G196"/>
    <mergeCell ref="H196:I196"/>
    <mergeCell ref="J196:L196"/>
    <mergeCell ref="B49:E49"/>
    <mergeCell ref="B107:E107"/>
    <mergeCell ref="B108:E108"/>
    <mergeCell ref="B114:E114"/>
    <mergeCell ref="B183:E183"/>
    <mergeCell ref="B185:E185"/>
    <mergeCell ref="B188:E188"/>
    <mergeCell ref="B189:E189"/>
    <mergeCell ref="B190:E190"/>
    <mergeCell ref="B174:E174"/>
    <mergeCell ref="B181:E181"/>
    <mergeCell ref="B182:E182"/>
    <mergeCell ref="B178:E178"/>
    <mergeCell ref="B171:E171"/>
    <mergeCell ref="B172:E172"/>
    <mergeCell ref="B157:E157"/>
    <mergeCell ref="B159:E159"/>
    <mergeCell ref="B162:E162"/>
    <mergeCell ref="B163:E163"/>
    <mergeCell ref="B164:E164"/>
    <mergeCell ref="B148:E148"/>
    <mergeCell ref="B149:E149"/>
    <mergeCell ref="B151:E151"/>
    <mergeCell ref="B155:E155"/>
    <mergeCell ref="B156:E156"/>
    <mergeCell ref="A140:E140"/>
    <mergeCell ref="B141:E141"/>
    <mergeCell ref="B142:E142"/>
    <mergeCell ref="B144:E144"/>
    <mergeCell ref="A147:B147"/>
    <mergeCell ref="A131:B131"/>
    <mergeCell ref="C131:E132"/>
    <mergeCell ref="F132:G132"/>
    <mergeCell ref="H132:I132"/>
    <mergeCell ref="J132:L132"/>
    <mergeCell ref="B100:E100"/>
    <mergeCell ref="B34:E34"/>
    <mergeCell ref="B35:E35"/>
    <mergeCell ref="A1:B1"/>
    <mergeCell ref="C1:E2"/>
    <mergeCell ref="F2:G2"/>
    <mergeCell ref="H2:I2"/>
    <mergeCell ref="B33:E33"/>
    <mergeCell ref="A18:B18"/>
    <mergeCell ref="B26:E26"/>
    <mergeCell ref="B19:E19"/>
    <mergeCell ref="B20:E20"/>
    <mergeCell ref="B22:E22"/>
    <mergeCell ref="B27:E27"/>
    <mergeCell ref="B28:E28"/>
    <mergeCell ref="B30:E30"/>
    <mergeCell ref="J2:L2"/>
    <mergeCell ref="A11:E11"/>
    <mergeCell ref="B13:E13"/>
    <mergeCell ref="B12:E12"/>
    <mergeCell ref="B15:E15"/>
    <mergeCell ref="B45:E45"/>
    <mergeCell ref="B42:E42"/>
    <mergeCell ref="B43:E43"/>
    <mergeCell ref="B51:E51"/>
    <mergeCell ref="B53:E53"/>
    <mergeCell ref="B55:E55"/>
    <mergeCell ref="B58:E58"/>
    <mergeCell ref="B59:E59"/>
    <mergeCell ref="B52:E52"/>
    <mergeCell ref="B60:E60"/>
    <mergeCell ref="A76:E76"/>
    <mergeCell ref="B77:E77"/>
    <mergeCell ref="B78:E78"/>
    <mergeCell ref="B80:E80"/>
    <mergeCell ref="A67:B67"/>
    <mergeCell ref="C67:E68"/>
    <mergeCell ref="B124:E124"/>
    <mergeCell ref="B125:E125"/>
    <mergeCell ref="B126:E126"/>
    <mergeCell ref="B110:E110"/>
    <mergeCell ref="B117:E117"/>
    <mergeCell ref="B118:E118"/>
    <mergeCell ref="F68:G68"/>
    <mergeCell ref="H68:I68"/>
    <mergeCell ref="J68:L68"/>
    <mergeCell ref="B119:E119"/>
    <mergeCell ref="B121:E121"/>
    <mergeCell ref="A83:B83"/>
    <mergeCell ref="B84:E84"/>
    <mergeCell ref="B85:E85"/>
    <mergeCell ref="B87:E87"/>
    <mergeCell ref="B91:E91"/>
    <mergeCell ref="B92:E92"/>
    <mergeCell ref="B93:E93"/>
    <mergeCell ref="B95:E95"/>
    <mergeCell ref="B98:E98"/>
    <mergeCell ref="B99:E99"/>
  </mergeCells>
  <printOptions horizontalCentered="1" verticalCentered="1"/>
  <pageMargins left="0" right="0" top="0" bottom="0" header="0.3" footer="0.3"/>
  <pageSetup paperSize="9" scale="80" orientation="portrait" r:id="rId1"/>
  <rowBreaks count="2" manualBreakCount="2">
    <brk id="61" max="10" man="1"/>
    <brk id="194" max="10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0"/>
  <sheetViews>
    <sheetView view="pageBreakPreview" zoomScale="60" workbookViewId="0">
      <selection activeCell="F2" sqref="F2:G2"/>
    </sheetView>
  </sheetViews>
  <sheetFormatPr defaultRowHeight="15"/>
  <sheetData>
    <row r="1" spans="1:11">
      <c r="A1" s="1578" t="s">
        <v>0</v>
      </c>
      <c r="B1" s="1579"/>
      <c r="C1" s="1580" t="s">
        <v>4</v>
      </c>
      <c r="D1" s="1581"/>
      <c r="E1" s="1582"/>
      <c r="F1" s="200" t="s">
        <v>7</v>
      </c>
      <c r="G1" s="201"/>
      <c r="H1" s="202" t="s">
        <v>8</v>
      </c>
      <c r="I1" s="201"/>
      <c r="J1" s="202" t="s">
        <v>61</v>
      </c>
      <c r="K1" s="201"/>
    </row>
    <row r="2" spans="1:11">
      <c r="A2" s="459" t="s">
        <v>552</v>
      </c>
      <c r="B2" s="169"/>
      <c r="C2" s="1583"/>
      <c r="D2" s="1584"/>
      <c r="E2" s="1585"/>
      <c r="F2" s="1595">
        <v>17</v>
      </c>
      <c r="G2" s="1596"/>
      <c r="H2" s="1586"/>
      <c r="I2" s="1587"/>
      <c r="K2" s="479">
        <v>1</v>
      </c>
    </row>
    <row r="3" spans="1:11">
      <c r="A3" s="170" t="s">
        <v>2</v>
      </c>
      <c r="B3" s="171"/>
      <c r="C3" s="167" t="s">
        <v>5</v>
      </c>
      <c r="D3" s="172"/>
      <c r="E3" s="166"/>
      <c r="F3" s="165" t="s">
        <v>9</v>
      </c>
      <c r="G3" s="172"/>
      <c r="H3" s="172"/>
      <c r="I3" s="172"/>
      <c r="J3" s="172"/>
      <c r="K3" s="166"/>
    </row>
    <row r="4" spans="1:11">
      <c r="A4" s="169" t="s">
        <v>490</v>
      </c>
      <c r="B4" s="173"/>
      <c r="C4" s="174"/>
      <c r="D4" s="456">
        <v>2</v>
      </c>
      <c r="E4" s="175"/>
      <c r="F4" s="176" t="s">
        <v>911</v>
      </c>
      <c r="G4" s="643"/>
      <c r="H4" s="643"/>
      <c r="I4" s="177"/>
      <c r="J4" s="177"/>
      <c r="K4" s="175"/>
    </row>
    <row r="5" spans="1:11">
      <c r="A5" s="170" t="s">
        <v>491</v>
      </c>
      <c r="B5" s="282"/>
      <c r="C5" s="165" t="s">
        <v>6</v>
      </c>
      <c r="D5" s="172"/>
      <c r="E5" s="166"/>
      <c r="F5" s="165" t="s">
        <v>10</v>
      </c>
      <c r="G5" s="1588"/>
      <c r="H5" s="1588"/>
      <c r="I5" s="1588"/>
      <c r="J5" s="172"/>
      <c r="K5" s="166"/>
    </row>
    <row r="6" spans="1:11">
      <c r="A6" s="169" t="s">
        <v>913</v>
      </c>
      <c r="B6" s="173"/>
      <c r="C6" s="174"/>
      <c r="D6" s="177"/>
      <c r="E6" s="175"/>
      <c r="F6" s="178"/>
      <c r="G6" s="177"/>
      <c r="H6" s="177"/>
      <c r="I6" s="177"/>
      <c r="J6" s="177"/>
      <c r="K6" s="175"/>
    </row>
    <row r="7" spans="1:11">
      <c r="A7" s="179"/>
      <c r="B7" s="180"/>
      <c r="C7" s="180"/>
      <c r="D7" s="180"/>
      <c r="E7" s="180"/>
      <c r="F7" s="180"/>
      <c r="G7" s="180"/>
      <c r="H7" s="180"/>
      <c r="I7" s="180"/>
      <c r="J7" s="180"/>
      <c r="K7" s="181"/>
    </row>
    <row r="8" spans="1:11">
      <c r="A8" s="182" t="s">
        <v>11</v>
      </c>
      <c r="B8" s="183"/>
      <c r="C8" s="172"/>
      <c r="D8" s="172"/>
      <c r="E8" s="166"/>
      <c r="F8" s="184" t="s">
        <v>12</v>
      </c>
      <c r="G8" s="166"/>
      <c r="H8" s="184" t="s">
        <v>13</v>
      </c>
      <c r="I8" s="166"/>
      <c r="J8" s="184" t="s">
        <v>14</v>
      </c>
      <c r="K8" s="166"/>
    </row>
    <row r="9" spans="1:11" ht="18.75">
      <c r="A9" s="511"/>
      <c r="B9" s="647" t="s">
        <v>912</v>
      </c>
      <c r="C9" s="180"/>
      <c r="D9" s="180"/>
      <c r="E9" s="181"/>
      <c r="F9" s="179"/>
      <c r="G9" s="181"/>
      <c r="H9" s="179"/>
      <c r="I9" s="181"/>
      <c r="J9" s="179"/>
      <c r="K9" s="181"/>
    </row>
    <row r="10" spans="1:11" ht="15.75">
      <c r="A10" s="645"/>
      <c r="B10" s="510"/>
      <c r="C10" s="510"/>
      <c r="D10" s="510"/>
      <c r="E10" s="181"/>
      <c r="F10" s="179"/>
      <c r="G10" s="181"/>
      <c r="H10" s="179"/>
      <c r="I10" s="181"/>
      <c r="J10" s="179"/>
      <c r="K10" s="181"/>
    </row>
    <row r="11" spans="1:11" ht="15.75">
      <c r="A11" s="652"/>
      <c r="B11" s="651" t="s">
        <v>906</v>
      </c>
      <c r="C11" s="180"/>
      <c r="D11" s="180"/>
      <c r="E11" s="181"/>
      <c r="F11" s="179"/>
      <c r="G11" s="181"/>
      <c r="H11" s="179"/>
      <c r="I11" s="181"/>
      <c r="J11" s="179"/>
      <c r="K11" s="181"/>
    </row>
    <row r="12" spans="1:11" ht="15.75">
      <c r="A12" s="516"/>
      <c r="B12" s="186"/>
      <c r="C12" s="180"/>
      <c r="D12" s="180"/>
      <c r="E12" s="181"/>
      <c r="F12" s="179"/>
      <c r="G12" s="181"/>
      <c r="H12" s="179"/>
      <c r="I12" s="181"/>
      <c r="J12" s="179"/>
      <c r="K12" s="181"/>
    </row>
    <row r="13" spans="1:11" ht="15.75" thickBot="1">
      <c r="A13" s="648"/>
      <c r="B13" s="180" t="s">
        <v>914</v>
      </c>
      <c r="C13" s="180"/>
      <c r="D13" s="180"/>
      <c r="E13" s="181"/>
      <c r="F13" s="179">
        <v>1</v>
      </c>
      <c r="G13" s="181"/>
      <c r="H13" s="179">
        <v>1</v>
      </c>
      <c r="I13" s="181"/>
      <c r="J13" s="187">
        <v>1</v>
      </c>
      <c r="K13" s="181"/>
    </row>
    <row r="14" spans="1:11" ht="15.75" thickTop="1">
      <c r="A14" s="212"/>
      <c r="B14" s="198"/>
      <c r="C14" s="198"/>
      <c r="D14" s="198"/>
      <c r="E14" s="181"/>
      <c r="F14" s="179"/>
      <c r="G14" s="181"/>
      <c r="H14" s="179"/>
      <c r="I14" s="180"/>
      <c r="J14" s="179"/>
      <c r="K14" s="181"/>
    </row>
    <row r="15" spans="1:11" ht="15.75" thickBot="1">
      <c r="A15" s="648"/>
      <c r="B15" s="180" t="s">
        <v>915</v>
      </c>
      <c r="C15" s="198"/>
      <c r="D15" s="198"/>
      <c r="E15" s="181"/>
      <c r="F15" s="179">
        <v>1</v>
      </c>
      <c r="G15" s="181"/>
      <c r="H15" s="179">
        <v>1</v>
      </c>
      <c r="I15" s="181"/>
      <c r="J15" s="187">
        <v>1</v>
      </c>
      <c r="K15" s="181"/>
    </row>
    <row r="16" spans="1:11" ht="15.75" thickTop="1">
      <c r="A16" s="185"/>
      <c r="B16" s="198"/>
      <c r="C16" s="198"/>
      <c r="D16" s="198"/>
      <c r="E16" s="181"/>
      <c r="F16" s="179"/>
      <c r="G16" s="181"/>
      <c r="H16" s="179"/>
      <c r="I16" s="181"/>
      <c r="J16" s="179"/>
      <c r="K16" s="181"/>
    </row>
    <row r="17" spans="1:11" ht="15.75" thickBot="1">
      <c r="A17" s="212"/>
      <c r="B17" s="180" t="s">
        <v>909</v>
      </c>
      <c r="C17" s="198"/>
      <c r="D17" s="198"/>
      <c r="E17" s="181"/>
      <c r="F17" s="179">
        <v>1</v>
      </c>
      <c r="G17" s="181"/>
      <c r="H17" s="179">
        <v>1</v>
      </c>
      <c r="I17" s="181"/>
      <c r="J17" s="187">
        <f>H17*F17</f>
        <v>1</v>
      </c>
      <c r="K17" s="181"/>
    </row>
    <row r="18" spans="1:11" ht="15.75" thickTop="1">
      <c r="A18" s="185"/>
      <c r="B18" s="196" t="s">
        <v>916</v>
      </c>
      <c r="C18" s="198"/>
      <c r="D18" s="198"/>
      <c r="E18" s="181"/>
      <c r="F18" s="179"/>
      <c r="G18" s="181"/>
      <c r="H18" s="179"/>
      <c r="I18" s="181"/>
      <c r="J18" s="179"/>
      <c r="K18" s="181"/>
    </row>
    <row r="19" spans="1:11">
      <c r="A19" s="185"/>
      <c r="B19" s="180"/>
      <c r="C19" s="180"/>
      <c r="D19" s="180"/>
      <c r="E19" s="181"/>
      <c r="F19" s="179"/>
      <c r="G19" s="181"/>
      <c r="H19" s="179"/>
      <c r="I19" s="181"/>
      <c r="J19" s="185"/>
      <c r="K19" s="181"/>
    </row>
    <row r="20" spans="1:11" ht="15.75" thickBot="1">
      <c r="A20" s="197"/>
      <c r="B20" s="198" t="s">
        <v>917</v>
      </c>
      <c r="C20" s="198"/>
      <c r="D20" s="198"/>
      <c r="E20" s="181"/>
      <c r="F20" s="179">
        <v>1</v>
      </c>
      <c r="G20" s="181"/>
      <c r="H20" s="179">
        <v>1</v>
      </c>
      <c r="I20" s="181"/>
      <c r="J20" s="187">
        <v>1</v>
      </c>
      <c r="K20" s="181"/>
    </row>
    <row r="21" spans="1:11" ht="15.75" thickTop="1">
      <c r="A21" s="197"/>
      <c r="B21" s="180"/>
      <c r="C21" s="198"/>
      <c r="D21" s="198"/>
      <c r="E21" s="181"/>
      <c r="F21" s="179"/>
      <c r="G21" s="181"/>
      <c r="H21" s="179"/>
      <c r="I21" s="181"/>
      <c r="J21" s="185"/>
      <c r="K21" s="181"/>
    </row>
    <row r="22" spans="1:11">
      <c r="A22" s="197"/>
      <c r="B22" s="198"/>
      <c r="C22" s="198"/>
      <c r="D22" s="198"/>
      <c r="E22" s="181"/>
      <c r="F22" s="179"/>
      <c r="G22" s="181"/>
      <c r="H22" s="179"/>
      <c r="I22" s="181"/>
      <c r="J22" s="179"/>
      <c r="K22" s="181"/>
    </row>
    <row r="23" spans="1:11">
      <c r="A23" s="648"/>
      <c r="B23" s="180"/>
      <c r="C23" s="198"/>
      <c r="D23" s="198"/>
      <c r="E23" s="181"/>
      <c r="F23" s="179"/>
      <c r="G23" s="181"/>
      <c r="H23" s="179"/>
      <c r="I23" s="181"/>
      <c r="J23" s="185"/>
      <c r="K23" s="181"/>
    </row>
    <row r="24" spans="1:11">
      <c r="A24" s="197"/>
      <c r="B24" s="196"/>
      <c r="C24" s="198"/>
      <c r="D24" s="198"/>
      <c r="E24" s="181"/>
      <c r="F24" s="179"/>
      <c r="G24" s="181"/>
      <c r="H24" s="179"/>
      <c r="I24" s="181"/>
      <c r="J24" s="179"/>
      <c r="K24" s="181"/>
    </row>
    <row r="25" spans="1:11">
      <c r="A25" s="648"/>
      <c r="B25" s="649"/>
      <c r="C25" s="180"/>
      <c r="D25" s="649"/>
      <c r="E25" s="650"/>
      <c r="F25" s="179"/>
      <c r="G25" s="181"/>
      <c r="H25" s="179"/>
      <c r="I25" s="181"/>
      <c r="J25" s="179"/>
      <c r="K25" s="181"/>
    </row>
    <row r="26" spans="1:11">
      <c r="A26" s="212"/>
      <c r="B26" s="541"/>
      <c r="C26" s="180"/>
      <c r="D26" s="541"/>
      <c r="E26" s="181"/>
      <c r="F26" s="179"/>
      <c r="G26" s="181"/>
      <c r="H26" s="179"/>
      <c r="I26" s="181"/>
      <c r="J26" s="179"/>
      <c r="K26" s="181"/>
    </row>
    <row r="27" spans="1:11">
      <c r="A27" s="214"/>
      <c r="B27" s="186"/>
      <c r="C27" s="180"/>
      <c r="D27" s="180"/>
      <c r="E27" s="181"/>
      <c r="F27" s="179"/>
      <c r="G27" s="181"/>
      <c r="H27" s="179"/>
      <c r="I27" s="181"/>
      <c r="J27" s="179"/>
      <c r="K27" s="181"/>
    </row>
    <row r="28" spans="1:11">
      <c r="A28" s="185"/>
      <c r="B28" s="186"/>
      <c r="C28" s="180"/>
      <c r="D28" s="180"/>
      <c r="E28" s="181"/>
      <c r="F28" s="179"/>
      <c r="G28" s="181"/>
      <c r="H28" s="179"/>
      <c r="I28" s="181"/>
      <c r="J28" s="179"/>
      <c r="K28" s="181"/>
    </row>
    <row r="29" spans="1:11">
      <c r="A29" s="212"/>
      <c r="B29" s="541"/>
      <c r="C29" s="180"/>
      <c r="D29" s="180"/>
      <c r="E29" s="181"/>
      <c r="F29" s="179"/>
      <c r="G29" s="181"/>
      <c r="H29" s="179"/>
      <c r="I29" s="181"/>
      <c r="J29" s="185"/>
      <c r="K29" s="181"/>
    </row>
    <row r="30" spans="1:11">
      <c r="A30" s="197"/>
      <c r="B30" s="198"/>
      <c r="C30" s="198"/>
      <c r="D30" s="198"/>
      <c r="E30" s="181"/>
      <c r="F30" s="179"/>
      <c r="G30" s="181"/>
      <c r="H30" s="179"/>
      <c r="I30" s="180"/>
      <c r="J30" s="179"/>
      <c r="K30" s="181"/>
    </row>
    <row r="31" spans="1:11" ht="15.75">
      <c r="A31" s="197"/>
      <c r="B31" s="646"/>
      <c r="C31" s="198"/>
      <c r="D31" s="198"/>
      <c r="E31" s="181"/>
      <c r="F31" s="179"/>
      <c r="G31" s="181"/>
      <c r="H31" s="179"/>
      <c r="I31" s="181"/>
      <c r="J31" s="179"/>
      <c r="K31" s="181"/>
    </row>
    <row r="32" spans="1:11">
      <c r="A32" s="197"/>
      <c r="B32" s="198"/>
      <c r="C32" s="198"/>
      <c r="D32" s="198"/>
      <c r="E32" s="181"/>
      <c r="F32" s="179"/>
      <c r="G32" s="181"/>
      <c r="H32" s="179"/>
      <c r="I32" s="181"/>
      <c r="J32" s="185"/>
      <c r="K32" s="181"/>
    </row>
    <row r="33" spans="1:11">
      <c r="A33" s="197"/>
      <c r="B33" s="198"/>
      <c r="C33" s="198"/>
      <c r="D33" s="198"/>
      <c r="E33" s="181"/>
      <c r="F33" s="179"/>
      <c r="G33" s="181"/>
      <c r="H33" s="179"/>
      <c r="I33" s="180"/>
      <c r="J33" s="179"/>
      <c r="K33" s="181"/>
    </row>
    <row r="34" spans="1:11">
      <c r="A34" s="197"/>
      <c r="B34" s="198"/>
      <c r="C34" s="198"/>
      <c r="D34" s="198"/>
      <c r="E34" s="181"/>
      <c r="F34" s="179"/>
      <c r="G34" s="181"/>
      <c r="H34" s="179"/>
      <c r="I34" s="180"/>
      <c r="J34" s="179"/>
      <c r="K34" s="181"/>
    </row>
    <row r="35" spans="1:11">
      <c r="A35" s="197"/>
      <c r="B35" s="198"/>
      <c r="C35" s="198"/>
      <c r="D35" s="198"/>
      <c r="E35" s="181"/>
      <c r="F35" s="179"/>
      <c r="G35" s="181"/>
      <c r="H35" s="179"/>
      <c r="I35" s="180"/>
      <c r="J35" s="179"/>
      <c r="K35" s="181"/>
    </row>
    <row r="36" spans="1:11">
      <c r="A36" s="197"/>
      <c r="B36" s="198"/>
      <c r="C36" s="198"/>
      <c r="D36" s="198"/>
      <c r="E36" s="181"/>
      <c r="F36" s="179"/>
      <c r="G36" s="181"/>
      <c r="H36" s="179"/>
      <c r="I36" s="180"/>
      <c r="J36" s="179"/>
      <c r="K36" s="181"/>
    </row>
    <row r="37" spans="1:11">
      <c r="A37" s="197"/>
      <c r="B37" s="198"/>
      <c r="C37" s="198"/>
      <c r="D37" s="198"/>
      <c r="E37" s="181"/>
      <c r="F37" s="179"/>
      <c r="G37" s="181"/>
      <c r="H37" s="179"/>
      <c r="I37" s="180"/>
      <c r="J37" s="179"/>
      <c r="K37" s="181"/>
    </row>
    <row r="38" spans="1:11">
      <c r="A38" s="197"/>
      <c r="B38" s="198"/>
      <c r="C38" s="198"/>
      <c r="D38" s="198"/>
      <c r="E38" s="181"/>
      <c r="F38" s="179"/>
      <c r="G38" s="181"/>
      <c r="H38" s="179"/>
      <c r="I38" s="180"/>
      <c r="J38" s="179"/>
      <c r="K38" s="181"/>
    </row>
    <row r="39" spans="1:11">
      <c r="A39" s="197"/>
      <c r="B39" s="198"/>
      <c r="C39" s="198"/>
      <c r="D39" s="198"/>
      <c r="E39" s="181"/>
      <c r="F39" s="179"/>
      <c r="G39" s="181"/>
      <c r="H39" s="179"/>
      <c r="I39" s="180"/>
      <c r="J39" s="179"/>
      <c r="K39" s="181"/>
    </row>
    <row r="40" spans="1:11">
      <c r="A40" s="197"/>
      <c r="B40" s="198"/>
      <c r="C40" s="198"/>
      <c r="D40" s="198"/>
      <c r="E40" s="181"/>
      <c r="F40" s="179"/>
      <c r="G40" s="181"/>
      <c r="H40" s="179"/>
      <c r="I40" s="180"/>
      <c r="J40" s="179"/>
      <c r="K40" s="181"/>
    </row>
    <row r="41" spans="1:11">
      <c r="A41" s="197"/>
      <c r="B41" s="198"/>
      <c r="C41" s="198"/>
      <c r="D41" s="198"/>
      <c r="E41" s="181"/>
      <c r="F41" s="179"/>
      <c r="G41" s="181"/>
      <c r="H41" s="179"/>
      <c r="I41" s="180"/>
      <c r="J41" s="179"/>
      <c r="K41" s="181"/>
    </row>
    <row r="42" spans="1:11">
      <c r="A42" s="197"/>
      <c r="B42" s="198"/>
      <c r="C42" s="198"/>
      <c r="D42" s="198"/>
      <c r="E42" s="181"/>
      <c r="F42" s="179"/>
      <c r="G42" s="181"/>
      <c r="H42" s="179"/>
      <c r="I42" s="180"/>
      <c r="J42" s="179"/>
      <c r="K42" s="181"/>
    </row>
    <row r="43" spans="1:11">
      <c r="A43" s="197"/>
      <c r="B43" s="198"/>
      <c r="C43" s="198"/>
      <c r="D43" s="198"/>
      <c r="E43" s="181"/>
      <c r="F43" s="179"/>
      <c r="G43" s="181"/>
      <c r="H43" s="179"/>
      <c r="I43" s="180"/>
      <c r="J43" s="179"/>
      <c r="K43" s="181"/>
    </row>
    <row r="44" spans="1:11">
      <c r="A44" s="197"/>
      <c r="B44" s="198"/>
      <c r="C44" s="198"/>
      <c r="D44" s="198"/>
      <c r="E44" s="181"/>
      <c r="F44" s="179"/>
      <c r="G44" s="181"/>
      <c r="H44" s="179"/>
      <c r="I44" s="180"/>
      <c r="J44" s="179"/>
      <c r="K44" s="181"/>
    </row>
    <row r="45" spans="1:11">
      <c r="A45" s="197"/>
      <c r="B45" s="198"/>
      <c r="C45" s="198"/>
      <c r="D45" s="198"/>
      <c r="E45" s="181"/>
      <c r="F45" s="179"/>
      <c r="G45" s="181"/>
      <c r="H45" s="179"/>
      <c r="I45" s="180"/>
      <c r="J45" s="179"/>
      <c r="K45" s="181"/>
    </row>
    <row r="46" spans="1:11">
      <c r="A46" s="179"/>
      <c r="B46" s="180"/>
      <c r="C46" s="180"/>
      <c r="D46" s="180"/>
      <c r="E46" s="180"/>
      <c r="F46" s="174"/>
      <c r="G46" s="180"/>
      <c r="H46" s="174"/>
      <c r="I46" s="180"/>
      <c r="J46" s="174"/>
      <c r="K46" s="181"/>
    </row>
    <row r="47" spans="1:11">
      <c r="A47" s="188"/>
      <c r="B47" s="29"/>
      <c r="C47" s="1576" t="s">
        <v>10</v>
      </c>
      <c r="D47" s="1577"/>
      <c r="E47" s="189" t="s">
        <v>18</v>
      </c>
      <c r="F47" s="190" t="s">
        <v>19</v>
      </c>
      <c r="G47" s="191"/>
      <c r="H47" s="191"/>
      <c r="I47" s="191"/>
      <c r="J47" s="191"/>
      <c r="K47" s="192"/>
    </row>
    <row r="48" spans="1:11">
      <c r="A48" s="193" t="s">
        <v>15</v>
      </c>
      <c r="B48" s="188"/>
      <c r="C48" s="1568"/>
      <c r="D48" s="1569"/>
      <c r="E48" s="191"/>
      <c r="F48" s="191"/>
      <c r="G48" s="191"/>
      <c r="H48" s="191"/>
      <c r="I48" s="191"/>
      <c r="J48" s="191"/>
      <c r="K48" s="192"/>
    </row>
    <row r="49" spans="1:11">
      <c r="A49" s="193" t="s">
        <v>16</v>
      </c>
      <c r="B49" s="188"/>
      <c r="C49" s="1568"/>
      <c r="D49" s="1569"/>
      <c r="E49" s="191"/>
      <c r="F49" s="191"/>
      <c r="G49" s="191"/>
      <c r="H49" s="191"/>
      <c r="I49" s="191"/>
      <c r="J49" s="191"/>
      <c r="K49" s="192"/>
    </row>
    <row r="50" spans="1:11">
      <c r="A50" s="193" t="s">
        <v>553</v>
      </c>
      <c r="B50" s="188"/>
      <c r="C50" s="1568"/>
      <c r="D50" s="1569"/>
      <c r="E50" s="191"/>
      <c r="F50" s="191"/>
      <c r="G50" s="191"/>
      <c r="H50" s="191"/>
      <c r="I50" s="191"/>
      <c r="J50" s="191"/>
      <c r="K50" s="192"/>
    </row>
  </sheetData>
  <mergeCells count="9">
    <mergeCell ref="F2:G2"/>
    <mergeCell ref="H2:I2"/>
    <mergeCell ref="G5:I5"/>
    <mergeCell ref="C49:D49"/>
    <mergeCell ref="C50:D50"/>
    <mergeCell ref="C47:D47"/>
    <mergeCell ref="C48:D48"/>
    <mergeCell ref="A1:B1"/>
    <mergeCell ref="C1:E2"/>
  </mergeCells>
  <pageMargins left="0.7" right="0.7" top="0.75" bottom="0.75" header="0.3" footer="0.3"/>
  <pageSetup paperSize="9" scale="86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50"/>
  <sheetViews>
    <sheetView view="pageBreakPreview" zoomScale="60" workbookViewId="0">
      <selection activeCell="H20" sqref="H20"/>
    </sheetView>
  </sheetViews>
  <sheetFormatPr defaultRowHeight="15"/>
  <sheetData>
    <row r="1" spans="1:11">
      <c r="A1" s="1578" t="s">
        <v>0</v>
      </c>
      <c r="B1" s="1579"/>
      <c r="C1" s="1580" t="s">
        <v>4</v>
      </c>
      <c r="D1" s="1581"/>
      <c r="E1" s="1582"/>
      <c r="F1" s="200" t="s">
        <v>7</v>
      </c>
      <c r="G1" s="201"/>
      <c r="H1" s="202" t="s">
        <v>8</v>
      </c>
      <c r="I1" s="201"/>
      <c r="J1" s="202" t="s">
        <v>61</v>
      </c>
      <c r="K1" s="201"/>
    </row>
    <row r="2" spans="1:11">
      <c r="A2" s="459" t="s">
        <v>552</v>
      </c>
      <c r="B2" s="169"/>
      <c r="C2" s="1583"/>
      <c r="D2" s="1584"/>
      <c r="E2" s="1585"/>
      <c r="F2" s="1595">
        <v>17</v>
      </c>
      <c r="G2" s="1596"/>
      <c r="H2" s="1586"/>
      <c r="I2" s="1587"/>
      <c r="K2" s="479">
        <v>1</v>
      </c>
    </row>
    <row r="3" spans="1:11">
      <c r="A3" s="170" t="s">
        <v>2</v>
      </c>
      <c r="B3" s="171"/>
      <c r="C3" s="167" t="s">
        <v>5</v>
      </c>
      <c r="D3" s="172"/>
      <c r="E3" s="166"/>
      <c r="F3" s="165" t="s">
        <v>9</v>
      </c>
      <c r="G3" s="172"/>
      <c r="H3" s="172"/>
      <c r="I3" s="172"/>
      <c r="J3" s="172"/>
      <c r="K3" s="166"/>
    </row>
    <row r="4" spans="1:11">
      <c r="A4" s="169" t="s">
        <v>490</v>
      </c>
      <c r="B4" s="173"/>
      <c r="C4" s="174"/>
      <c r="D4" s="456">
        <v>2</v>
      </c>
      <c r="E4" s="175"/>
      <c r="F4" s="1671" t="s">
        <v>762</v>
      </c>
      <c r="G4" s="1672"/>
      <c r="H4" s="1672"/>
      <c r="I4" s="177"/>
      <c r="J4" s="177"/>
      <c r="K4" s="175"/>
    </row>
    <row r="5" spans="1:11">
      <c r="A5" s="170" t="s">
        <v>491</v>
      </c>
      <c r="B5" s="282"/>
      <c r="C5" s="165" t="s">
        <v>6</v>
      </c>
      <c r="D5" s="172"/>
      <c r="E5" s="166"/>
      <c r="F5" s="165" t="s">
        <v>10</v>
      </c>
      <c r="G5" s="1588"/>
      <c r="H5" s="1588"/>
      <c r="I5" s="1588"/>
      <c r="J5" s="172"/>
      <c r="K5" s="166"/>
    </row>
    <row r="6" spans="1:11">
      <c r="A6" s="169">
        <v>2</v>
      </c>
      <c r="B6" s="173"/>
      <c r="C6" s="174"/>
      <c r="D6" s="177"/>
      <c r="E6" s="175"/>
      <c r="F6" s="178"/>
      <c r="G6" s="177"/>
      <c r="H6" s="177"/>
      <c r="I6" s="177"/>
      <c r="J6" s="177"/>
      <c r="K6" s="175"/>
    </row>
    <row r="7" spans="1:11">
      <c r="A7" s="179"/>
      <c r="B7" s="180"/>
      <c r="C7" s="180"/>
      <c r="D7" s="180"/>
      <c r="E7" s="180"/>
      <c r="F7" s="180"/>
      <c r="G7" s="180"/>
      <c r="H7" s="180"/>
      <c r="I7" s="180"/>
      <c r="J7" s="180"/>
      <c r="K7" s="181"/>
    </row>
    <row r="8" spans="1:11">
      <c r="A8" s="182" t="s">
        <v>11</v>
      </c>
      <c r="B8" s="183"/>
      <c r="C8" s="172"/>
      <c r="D8" s="172"/>
      <c r="E8" s="166"/>
      <c r="F8" s="184" t="s">
        <v>12</v>
      </c>
      <c r="G8" s="166"/>
      <c r="H8" s="184" t="s">
        <v>13</v>
      </c>
      <c r="I8" s="166"/>
      <c r="J8" s="184" t="s">
        <v>14</v>
      </c>
      <c r="K8" s="166"/>
    </row>
    <row r="9" spans="1:11" ht="18.75">
      <c r="A9" s="511"/>
      <c r="B9" s="647" t="s">
        <v>892</v>
      </c>
      <c r="C9" s="180"/>
      <c r="D9" s="180"/>
      <c r="E9" s="181"/>
      <c r="F9" s="179"/>
      <c r="G9" s="181"/>
      <c r="H9" s="179"/>
      <c r="I9" s="181"/>
      <c r="J9" s="179"/>
      <c r="K9" s="181"/>
    </row>
    <row r="10" spans="1:11" ht="18" customHeight="1">
      <c r="A10" s="645" t="s">
        <v>893</v>
      </c>
      <c r="B10" s="510"/>
      <c r="C10" s="510"/>
      <c r="D10" s="510"/>
      <c r="E10" s="181"/>
      <c r="F10" s="179"/>
      <c r="G10" s="181"/>
      <c r="H10" s="179"/>
      <c r="I10" s="181"/>
      <c r="J10" s="179"/>
      <c r="K10" s="181"/>
    </row>
    <row r="11" spans="1:11" ht="15.75" customHeight="1">
      <c r="A11" s="516"/>
      <c r="B11" s="646" t="s">
        <v>894</v>
      </c>
      <c r="C11" s="510"/>
      <c r="D11" s="510"/>
      <c r="E11" s="181"/>
      <c r="F11" s="179">
        <v>2</v>
      </c>
      <c r="G11" s="181"/>
      <c r="H11" s="179">
        <v>5.59</v>
      </c>
      <c r="I11" s="181"/>
      <c r="J11" s="179"/>
      <c r="K11" s="181"/>
    </row>
    <row r="12" spans="1:11" ht="15.75">
      <c r="A12" s="516"/>
      <c r="B12" s="510"/>
      <c r="C12" s="510"/>
      <c r="D12" s="510"/>
      <c r="E12" s="181"/>
      <c r="F12" s="179"/>
      <c r="G12" s="181"/>
      <c r="H12" s="179">
        <v>3</v>
      </c>
      <c r="I12" s="181"/>
      <c r="J12" s="179">
        <f t="shared" ref="J12" si="0">F11*H11*H12</f>
        <v>33.54</v>
      </c>
      <c r="K12" s="181"/>
    </row>
    <row r="13" spans="1:11">
      <c r="A13" s="1713" t="s">
        <v>897</v>
      </c>
      <c r="B13" s="1714"/>
      <c r="C13" s="1714"/>
      <c r="D13" s="1714"/>
      <c r="E13" s="1715"/>
      <c r="F13" s="179">
        <v>2</v>
      </c>
      <c r="G13" s="181"/>
      <c r="H13" s="179">
        <v>3.6</v>
      </c>
      <c r="I13" s="181"/>
      <c r="J13" s="179"/>
      <c r="K13" s="181"/>
    </row>
    <row r="14" spans="1:11">
      <c r="A14" s="212"/>
      <c r="B14" s="1692"/>
      <c r="C14" s="1692"/>
      <c r="D14" s="1692"/>
      <c r="E14" s="181"/>
      <c r="F14" s="179"/>
      <c r="G14" s="181"/>
      <c r="H14" s="179">
        <v>2.87</v>
      </c>
      <c r="I14" s="181"/>
      <c r="J14" s="179">
        <f t="shared" ref="J14" si="1">F13*H13*H14</f>
        <v>20.664000000000001</v>
      </c>
      <c r="K14" s="181"/>
    </row>
    <row r="15" spans="1:11">
      <c r="A15" s="214"/>
      <c r="B15" s="186"/>
      <c r="C15" s="180" t="s">
        <v>764</v>
      </c>
      <c r="D15" s="180"/>
      <c r="E15" s="181"/>
      <c r="F15" s="179">
        <v>-1</v>
      </c>
      <c r="G15" s="181"/>
      <c r="H15" s="179">
        <v>3.04</v>
      </c>
      <c r="I15" s="181"/>
      <c r="J15" s="179"/>
      <c r="K15" s="181"/>
    </row>
    <row r="16" spans="1:11">
      <c r="A16" s="185"/>
      <c r="B16" s="186"/>
      <c r="C16" s="180"/>
      <c r="D16" s="180"/>
      <c r="E16" s="181"/>
      <c r="F16" s="179"/>
      <c r="G16" s="181"/>
      <c r="H16" s="179">
        <v>2.1</v>
      </c>
      <c r="I16" s="181"/>
      <c r="J16" s="179">
        <f t="shared" ref="J16" si="2">F15*H15*H16</f>
        <v>-6.3840000000000003</v>
      </c>
      <c r="K16" s="181"/>
    </row>
    <row r="17" spans="1:11">
      <c r="A17" s="212"/>
      <c r="B17" s="541"/>
      <c r="C17" s="180" t="s">
        <v>889</v>
      </c>
      <c r="D17" s="180"/>
      <c r="E17" s="181"/>
      <c r="F17" s="179">
        <v>-1</v>
      </c>
      <c r="G17" s="181"/>
      <c r="H17" s="179">
        <v>2.02</v>
      </c>
      <c r="I17" s="181"/>
      <c r="J17" s="179"/>
      <c r="K17" s="181"/>
    </row>
    <row r="18" spans="1:11">
      <c r="A18" s="185"/>
      <c r="B18" s="186"/>
      <c r="C18" s="180"/>
      <c r="D18" s="180"/>
      <c r="E18" s="181"/>
      <c r="F18" s="179"/>
      <c r="G18" s="181"/>
      <c r="H18" s="179">
        <v>0.5</v>
      </c>
      <c r="I18" s="181"/>
      <c r="J18" s="179">
        <f t="shared" ref="J18" si="3">F17*H17*H18</f>
        <v>-1.01</v>
      </c>
      <c r="K18" s="181"/>
    </row>
    <row r="19" spans="1:11" ht="15.75" thickBot="1">
      <c r="A19" s="185"/>
      <c r="B19" s="186"/>
      <c r="C19" s="180"/>
      <c r="D19" s="180"/>
      <c r="E19" s="181"/>
      <c r="F19" s="179"/>
      <c r="G19" s="181"/>
      <c r="H19" s="184"/>
      <c r="I19" s="166"/>
      <c r="J19" s="580">
        <f>SUM(J12:J18)</f>
        <v>46.81</v>
      </c>
      <c r="K19" s="181"/>
    </row>
    <row r="20" spans="1:11" ht="15.75" thickTop="1">
      <c r="A20" s="197"/>
      <c r="B20" s="198"/>
      <c r="C20" s="198"/>
      <c r="D20" s="198"/>
      <c r="E20" s="181"/>
      <c r="F20" s="179"/>
      <c r="G20" s="181"/>
      <c r="H20" s="179"/>
      <c r="I20" s="180"/>
      <c r="J20" s="179"/>
      <c r="K20" s="181"/>
    </row>
    <row r="21" spans="1:11" ht="15.75">
      <c r="A21" s="197"/>
      <c r="B21" s="646" t="s">
        <v>895</v>
      </c>
      <c r="C21" s="198"/>
      <c r="D21" s="198"/>
      <c r="E21" s="181"/>
      <c r="F21" s="179">
        <v>2</v>
      </c>
      <c r="G21" s="181"/>
      <c r="H21" s="179">
        <v>6</v>
      </c>
      <c r="I21" s="181"/>
      <c r="J21" s="179"/>
      <c r="K21" s="181"/>
    </row>
    <row r="22" spans="1:11">
      <c r="A22" s="197"/>
      <c r="B22" s="198" t="s">
        <v>896</v>
      </c>
      <c r="C22" s="198"/>
      <c r="D22" s="198"/>
      <c r="E22" s="181"/>
      <c r="F22" s="179"/>
      <c r="G22" s="181"/>
      <c r="H22" s="179">
        <v>3.2</v>
      </c>
      <c r="I22" s="181"/>
      <c r="J22" s="179">
        <f t="shared" ref="J22" si="4">F21*H21*H22</f>
        <v>38.400000000000006</v>
      </c>
      <c r="K22" s="181"/>
    </row>
    <row r="23" spans="1:11">
      <c r="A23" s="1713" t="s">
        <v>898</v>
      </c>
      <c r="B23" s="1714"/>
      <c r="C23" s="1714"/>
      <c r="D23" s="1714"/>
      <c r="E23" s="1715"/>
      <c r="F23" s="179">
        <v>2</v>
      </c>
      <c r="G23" s="181"/>
      <c r="H23" s="179">
        <v>4</v>
      </c>
      <c r="I23" s="181"/>
      <c r="J23" s="179"/>
      <c r="K23" s="181"/>
    </row>
    <row r="24" spans="1:11">
      <c r="A24" s="197"/>
      <c r="B24" s="198"/>
      <c r="C24" s="198"/>
      <c r="D24" s="198"/>
      <c r="E24" s="181"/>
      <c r="F24" s="179"/>
      <c r="G24" s="181"/>
      <c r="H24" s="179">
        <v>2.9</v>
      </c>
      <c r="I24" s="181"/>
      <c r="J24" s="179">
        <f t="shared" ref="J24" si="5">F23*H23*H24</f>
        <v>23.2</v>
      </c>
      <c r="K24" s="181"/>
    </row>
    <row r="25" spans="1:11">
      <c r="A25" s="648"/>
      <c r="B25" s="649"/>
      <c r="C25" s="180" t="s">
        <v>764</v>
      </c>
      <c r="D25" s="649"/>
      <c r="E25" s="650"/>
      <c r="F25" s="179">
        <v>-1</v>
      </c>
      <c r="G25" s="181"/>
      <c r="H25" s="179">
        <v>3.04</v>
      </c>
      <c r="I25" s="181"/>
      <c r="J25" s="179"/>
      <c r="K25" s="181"/>
    </row>
    <row r="26" spans="1:11">
      <c r="A26" s="212"/>
      <c r="B26" s="541"/>
      <c r="C26" s="180"/>
      <c r="D26" s="541"/>
      <c r="E26" s="181"/>
      <c r="F26" s="179"/>
      <c r="G26" s="181"/>
      <c r="H26" s="179">
        <v>2.1</v>
      </c>
      <c r="I26" s="181"/>
      <c r="J26" s="179">
        <f t="shared" ref="J26" si="6">F25*H25*H26</f>
        <v>-6.3840000000000003</v>
      </c>
      <c r="K26" s="181"/>
    </row>
    <row r="27" spans="1:11">
      <c r="A27" s="214"/>
      <c r="B27" s="186"/>
      <c r="C27" s="180" t="s">
        <v>889</v>
      </c>
      <c r="D27" s="180"/>
      <c r="E27" s="181"/>
      <c r="F27" s="179">
        <v>-1</v>
      </c>
      <c r="G27" s="181"/>
      <c r="H27" s="179">
        <v>2.02</v>
      </c>
      <c r="I27" s="181"/>
      <c r="J27" s="179"/>
      <c r="K27" s="181"/>
    </row>
    <row r="28" spans="1:11">
      <c r="A28" s="185"/>
      <c r="B28" s="186"/>
      <c r="C28" s="180"/>
      <c r="D28" s="180"/>
      <c r="E28" s="181"/>
      <c r="F28" s="179"/>
      <c r="G28" s="181"/>
      <c r="H28" s="179">
        <v>0.5</v>
      </c>
      <c r="I28" s="181"/>
      <c r="J28" s="179">
        <f t="shared" ref="J28" si="7">F27*H27*H28</f>
        <v>-1.01</v>
      </c>
      <c r="K28" s="181"/>
    </row>
    <row r="29" spans="1:11" ht="15.75" thickBot="1">
      <c r="A29" s="212"/>
      <c r="B29" s="541"/>
      <c r="C29" s="180"/>
      <c r="D29" s="180"/>
      <c r="E29" s="181"/>
      <c r="F29" s="179"/>
      <c r="G29" s="181"/>
      <c r="H29" s="184"/>
      <c r="I29" s="166"/>
      <c r="J29" s="580">
        <f>SUM(J22:J28)</f>
        <v>54.20600000000001</v>
      </c>
      <c r="K29" s="181"/>
    </row>
    <row r="30" spans="1:11" ht="15.75" thickTop="1">
      <c r="A30" s="197"/>
      <c r="B30" s="198"/>
      <c r="C30" s="198"/>
      <c r="D30" s="198"/>
      <c r="E30" s="181"/>
      <c r="F30" s="179"/>
      <c r="G30" s="181"/>
      <c r="H30" s="179"/>
      <c r="I30" s="180"/>
      <c r="J30" s="179"/>
      <c r="K30" s="181"/>
    </row>
    <row r="31" spans="1:11" ht="15.75">
      <c r="A31" s="197"/>
      <c r="B31" s="646" t="s">
        <v>899</v>
      </c>
      <c r="C31" s="198"/>
      <c r="D31" s="198"/>
      <c r="E31" s="181"/>
      <c r="F31" s="179">
        <v>1</v>
      </c>
      <c r="G31" s="181"/>
      <c r="H31" s="179">
        <v>5.59</v>
      </c>
      <c r="I31" s="181"/>
      <c r="J31" s="179"/>
      <c r="K31" s="181"/>
    </row>
    <row r="32" spans="1:11" ht="15.75" thickBot="1">
      <c r="A32" s="197"/>
      <c r="B32" s="198"/>
      <c r="C32" s="198"/>
      <c r="D32" s="198"/>
      <c r="E32" s="181"/>
      <c r="F32" s="179"/>
      <c r="G32" s="181"/>
      <c r="H32" s="179">
        <v>3.6</v>
      </c>
      <c r="I32" s="181"/>
      <c r="J32" s="187">
        <f t="shared" ref="J32" si="8">F31*H31*H32</f>
        <v>20.123999999999999</v>
      </c>
      <c r="K32" s="181"/>
    </row>
    <row r="33" spans="1:11" ht="15.75" thickTop="1">
      <c r="A33" s="197"/>
      <c r="B33" s="198"/>
      <c r="C33" s="198"/>
      <c r="D33" s="198"/>
      <c r="E33" s="181"/>
      <c r="F33" s="179"/>
      <c r="G33" s="181"/>
      <c r="H33" s="179"/>
      <c r="I33" s="180"/>
      <c r="J33" s="179"/>
      <c r="K33" s="181"/>
    </row>
    <row r="34" spans="1:11">
      <c r="A34" s="197"/>
      <c r="B34" s="198"/>
      <c r="C34" s="198"/>
      <c r="D34" s="198"/>
      <c r="E34" s="181"/>
      <c r="F34" s="179"/>
      <c r="G34" s="181"/>
      <c r="H34" s="179"/>
      <c r="I34" s="180"/>
      <c r="J34" s="179"/>
      <c r="K34" s="181"/>
    </row>
    <row r="35" spans="1:11" ht="15.75">
      <c r="A35" s="645" t="s">
        <v>918</v>
      </c>
      <c r="C35" s="198"/>
      <c r="D35" s="198"/>
      <c r="E35" s="181"/>
      <c r="F35" s="179"/>
      <c r="G35" s="181"/>
      <c r="H35" s="179"/>
      <c r="I35" s="180"/>
      <c r="J35" s="179"/>
      <c r="K35" s="181"/>
    </row>
    <row r="36" spans="1:11">
      <c r="A36" s="197"/>
      <c r="B36" s="198"/>
      <c r="C36" s="198"/>
      <c r="D36" s="198"/>
      <c r="E36" s="181"/>
      <c r="F36" s="179"/>
      <c r="G36" s="181"/>
      <c r="H36" s="179"/>
      <c r="I36" s="180"/>
      <c r="J36" s="179"/>
      <c r="K36" s="181"/>
    </row>
    <row r="37" spans="1:11" ht="15.75" thickBot="1">
      <c r="A37" s="197"/>
      <c r="B37" s="672" t="s">
        <v>919</v>
      </c>
      <c r="C37" s="198"/>
      <c r="D37" s="198"/>
      <c r="E37" s="181"/>
      <c r="F37" s="179">
        <v>1</v>
      </c>
      <c r="G37" s="181"/>
      <c r="H37" s="179">
        <v>325</v>
      </c>
      <c r="I37" s="180"/>
      <c r="J37" s="187">
        <v>325</v>
      </c>
      <c r="K37" s="181"/>
    </row>
    <row r="38" spans="1:11" ht="15.75" thickTop="1">
      <c r="A38" s="197"/>
      <c r="B38" s="672" t="s">
        <v>920</v>
      </c>
      <c r="C38" s="198"/>
      <c r="D38" s="198"/>
      <c r="E38" s="181"/>
      <c r="F38" s="179"/>
      <c r="G38" s="181"/>
      <c r="H38" s="179"/>
      <c r="I38" s="180"/>
      <c r="J38" s="179"/>
      <c r="K38" s="181"/>
    </row>
    <row r="39" spans="1:11">
      <c r="A39" s="197"/>
      <c r="B39" s="198"/>
      <c r="C39" s="198"/>
      <c r="D39" s="198"/>
      <c r="E39" s="181"/>
      <c r="F39" s="179"/>
      <c r="G39" s="181"/>
      <c r="H39" s="179"/>
      <c r="I39" s="180"/>
      <c r="J39" s="179"/>
      <c r="K39" s="181"/>
    </row>
    <row r="40" spans="1:11">
      <c r="A40" s="197"/>
      <c r="B40" s="672" t="s">
        <v>921</v>
      </c>
      <c r="C40" s="198"/>
      <c r="D40" s="198"/>
      <c r="E40" s="181"/>
      <c r="F40" s="179">
        <v>1</v>
      </c>
      <c r="G40" s="181"/>
      <c r="H40" s="179">
        <v>325</v>
      </c>
      <c r="I40" s="180"/>
      <c r="J40" s="179"/>
      <c r="K40" s="181"/>
    </row>
    <row r="41" spans="1:11">
      <c r="A41" s="197"/>
      <c r="B41" s="198"/>
      <c r="C41" s="198"/>
      <c r="D41" s="198"/>
      <c r="E41" s="181"/>
      <c r="F41" s="179"/>
      <c r="G41" s="181"/>
      <c r="H41" s="179">
        <v>0.8</v>
      </c>
      <c r="I41" s="180"/>
      <c r="J41" s="179"/>
      <c r="K41" s="181"/>
    </row>
    <row r="42" spans="1:11" ht="15.75" thickBot="1">
      <c r="A42" s="197"/>
      <c r="B42" s="198"/>
      <c r="C42" s="198"/>
      <c r="D42" s="198"/>
      <c r="E42" s="181"/>
      <c r="F42" s="179"/>
      <c r="G42" s="181"/>
      <c r="H42" s="179">
        <v>0.06</v>
      </c>
      <c r="I42" s="180"/>
      <c r="J42" s="187">
        <f>F40*H40*H41*H42</f>
        <v>15.6</v>
      </c>
      <c r="K42" s="181"/>
    </row>
    <row r="43" spans="1:11" ht="15.75" thickTop="1">
      <c r="A43" s="197"/>
      <c r="C43" s="198"/>
      <c r="D43" s="198"/>
      <c r="E43" s="181"/>
      <c r="F43" s="179"/>
      <c r="G43" s="181"/>
      <c r="H43" s="179"/>
      <c r="I43" s="180"/>
      <c r="J43" s="179"/>
      <c r="K43" s="181"/>
    </row>
    <row r="44" spans="1:11" ht="15.75" thickBot="1">
      <c r="A44" s="197"/>
      <c r="B44" s="672" t="s">
        <v>922</v>
      </c>
      <c r="C44" s="198"/>
      <c r="D44" s="198"/>
      <c r="E44" s="181"/>
      <c r="F44" s="179">
        <v>1</v>
      </c>
      <c r="G44" s="181"/>
      <c r="H44" s="179">
        <v>325</v>
      </c>
      <c r="I44" s="180"/>
      <c r="J44" s="187">
        <v>325</v>
      </c>
      <c r="K44" s="181"/>
    </row>
    <row r="45" spans="1:11" ht="15.75" thickTop="1">
      <c r="A45" s="197"/>
      <c r="B45" s="198"/>
      <c r="C45" s="198"/>
      <c r="D45" s="198"/>
      <c r="E45" s="181"/>
      <c r="F45" s="179"/>
      <c r="G45" s="181"/>
      <c r="H45" s="179"/>
      <c r="I45" s="180"/>
      <c r="J45" s="179"/>
      <c r="K45" s="181"/>
    </row>
    <row r="46" spans="1:11">
      <c r="A46" s="179"/>
      <c r="B46" s="180"/>
      <c r="C46" s="180"/>
      <c r="D46" s="180"/>
      <c r="E46" s="180"/>
      <c r="F46" s="174"/>
      <c r="G46" s="180"/>
      <c r="H46" s="174"/>
      <c r="I46" s="180"/>
      <c r="J46" s="174"/>
      <c r="K46" s="181"/>
    </row>
    <row r="47" spans="1:11">
      <c r="A47" s="188"/>
      <c r="B47" s="29"/>
      <c r="C47" s="1576" t="s">
        <v>10</v>
      </c>
      <c r="D47" s="1577"/>
      <c r="E47" s="189" t="s">
        <v>18</v>
      </c>
      <c r="F47" s="190" t="s">
        <v>19</v>
      </c>
      <c r="G47" s="191"/>
      <c r="H47" s="191"/>
      <c r="I47" s="191"/>
      <c r="J47" s="191"/>
      <c r="K47" s="192"/>
    </row>
    <row r="48" spans="1:11">
      <c r="A48" s="193" t="s">
        <v>15</v>
      </c>
      <c r="B48" s="188"/>
      <c r="C48" s="1568"/>
      <c r="D48" s="1569"/>
      <c r="E48" s="191"/>
      <c r="F48" s="191"/>
      <c r="G48" s="191"/>
      <c r="H48" s="191"/>
      <c r="I48" s="191"/>
      <c r="J48" s="191"/>
      <c r="K48" s="192"/>
    </row>
    <row r="49" spans="1:11">
      <c r="A49" s="193" t="s">
        <v>16</v>
      </c>
      <c r="B49" s="188"/>
      <c r="C49" s="1568"/>
      <c r="D49" s="1569"/>
      <c r="E49" s="191"/>
      <c r="F49" s="191"/>
      <c r="G49" s="191"/>
      <c r="H49" s="191"/>
      <c r="I49" s="191"/>
      <c r="J49" s="191"/>
      <c r="K49" s="192"/>
    </row>
    <row r="50" spans="1:11">
      <c r="A50" s="193" t="s">
        <v>553</v>
      </c>
      <c r="B50" s="188"/>
      <c r="C50" s="1568"/>
      <c r="D50" s="1569"/>
      <c r="E50" s="191"/>
      <c r="F50" s="191"/>
      <c r="G50" s="191"/>
      <c r="H50" s="191"/>
      <c r="I50" s="191"/>
      <c r="J50" s="191"/>
      <c r="K50" s="192"/>
    </row>
  </sheetData>
  <mergeCells count="13">
    <mergeCell ref="F4:H4"/>
    <mergeCell ref="A1:B1"/>
    <mergeCell ref="C1:E2"/>
    <mergeCell ref="F2:G2"/>
    <mergeCell ref="H2:I2"/>
    <mergeCell ref="G5:I5"/>
    <mergeCell ref="C47:D47"/>
    <mergeCell ref="C48:D48"/>
    <mergeCell ref="C49:D49"/>
    <mergeCell ref="C50:D50"/>
    <mergeCell ref="A13:E13"/>
    <mergeCell ref="B14:D14"/>
    <mergeCell ref="A23:E23"/>
  </mergeCells>
  <pageMargins left="0.62" right="0.4" top="0.28999999999999998" bottom="0.23" header="0.28000000000000003" footer="0.22"/>
  <pageSetup scale="94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0"/>
  <sheetViews>
    <sheetView view="pageBreakPreview" zoomScale="60" workbookViewId="0">
      <selection activeCell="F2" sqref="F2:G2"/>
    </sheetView>
  </sheetViews>
  <sheetFormatPr defaultRowHeight="15"/>
  <sheetData>
    <row r="1" spans="1:11">
      <c r="A1" s="1578" t="s">
        <v>0</v>
      </c>
      <c r="B1" s="1579"/>
      <c r="C1" s="1580" t="s">
        <v>4</v>
      </c>
      <c r="D1" s="1581"/>
      <c r="E1" s="1582"/>
      <c r="F1" s="200" t="s">
        <v>7</v>
      </c>
      <c r="G1" s="201"/>
      <c r="H1" s="202" t="s">
        <v>8</v>
      </c>
      <c r="I1" s="201"/>
      <c r="J1" s="202" t="s">
        <v>61</v>
      </c>
      <c r="K1" s="201"/>
    </row>
    <row r="2" spans="1:11">
      <c r="A2" s="459" t="s">
        <v>552</v>
      </c>
      <c r="B2" s="169"/>
      <c r="C2" s="1583"/>
      <c r="D2" s="1584"/>
      <c r="E2" s="1585"/>
      <c r="F2" s="1595">
        <v>17</v>
      </c>
      <c r="G2" s="1596"/>
      <c r="H2" s="1586"/>
      <c r="I2" s="1587"/>
      <c r="K2" s="479">
        <v>1</v>
      </c>
    </row>
    <row r="3" spans="1:11">
      <c r="A3" s="170" t="s">
        <v>2</v>
      </c>
      <c r="B3" s="171"/>
      <c r="C3" s="167" t="s">
        <v>5</v>
      </c>
      <c r="D3" s="172"/>
      <c r="E3" s="166"/>
      <c r="F3" s="165" t="s">
        <v>9</v>
      </c>
      <c r="G3" s="172"/>
      <c r="H3" s="172"/>
      <c r="I3" s="172"/>
      <c r="J3" s="172"/>
      <c r="K3" s="166"/>
    </row>
    <row r="4" spans="1:11">
      <c r="A4" s="169" t="s">
        <v>490</v>
      </c>
      <c r="B4" s="173"/>
      <c r="C4" s="174"/>
      <c r="D4" s="456">
        <v>2</v>
      </c>
      <c r="E4" s="175"/>
      <c r="F4" s="1671" t="s">
        <v>900</v>
      </c>
      <c r="G4" s="1672"/>
      <c r="H4" s="1672"/>
      <c r="I4" s="177"/>
      <c r="J4" s="177"/>
      <c r="K4" s="175"/>
    </row>
    <row r="5" spans="1:11">
      <c r="A5" s="170" t="s">
        <v>491</v>
      </c>
      <c r="B5" s="282"/>
      <c r="C5" s="165" t="s">
        <v>6</v>
      </c>
      <c r="D5" s="172"/>
      <c r="E5" s="166"/>
      <c r="F5" s="165" t="s">
        <v>10</v>
      </c>
      <c r="G5" s="1588"/>
      <c r="H5" s="1588"/>
      <c r="I5" s="1588"/>
      <c r="J5" s="172"/>
      <c r="K5" s="166"/>
    </row>
    <row r="6" spans="1:11">
      <c r="A6" s="169" t="s">
        <v>901</v>
      </c>
      <c r="B6" s="173"/>
      <c r="C6" s="174"/>
      <c r="D6" s="177"/>
      <c r="E6" s="175"/>
      <c r="F6" s="178"/>
      <c r="G6" s="177"/>
      <c r="H6" s="177"/>
      <c r="I6" s="177"/>
      <c r="J6" s="177"/>
      <c r="K6" s="175"/>
    </row>
    <row r="7" spans="1:11">
      <c r="A7" s="179"/>
      <c r="B7" s="180"/>
      <c r="C7" s="180"/>
      <c r="D7" s="180"/>
      <c r="E7" s="180"/>
      <c r="F7" s="180"/>
      <c r="G7" s="180"/>
      <c r="H7" s="180"/>
      <c r="I7" s="180"/>
      <c r="J7" s="180"/>
      <c r="K7" s="181"/>
    </row>
    <row r="8" spans="1:11">
      <c r="A8" s="182" t="s">
        <v>11</v>
      </c>
      <c r="B8" s="183"/>
      <c r="C8" s="172"/>
      <c r="D8" s="172"/>
      <c r="E8" s="166"/>
      <c r="F8" s="184" t="s">
        <v>12</v>
      </c>
      <c r="G8" s="166"/>
      <c r="H8" s="184" t="s">
        <v>13</v>
      </c>
      <c r="I8" s="166"/>
      <c r="J8" s="184" t="s">
        <v>14</v>
      </c>
      <c r="K8" s="166"/>
    </row>
    <row r="9" spans="1:11" ht="18.75">
      <c r="A9" s="511"/>
      <c r="B9" s="647" t="s">
        <v>902</v>
      </c>
      <c r="C9" s="180"/>
      <c r="D9" s="180"/>
      <c r="E9" s="181"/>
      <c r="F9" s="179"/>
      <c r="G9" s="181"/>
      <c r="H9" s="179"/>
      <c r="I9" s="181"/>
      <c r="J9" s="179"/>
      <c r="K9" s="181"/>
    </row>
    <row r="10" spans="1:11" ht="15.75">
      <c r="A10" s="645"/>
      <c r="B10" s="510"/>
      <c r="C10" s="510"/>
      <c r="D10" s="510"/>
      <c r="E10" s="181"/>
      <c r="F10" s="179"/>
      <c r="G10" s="181"/>
      <c r="H10" s="179"/>
      <c r="I10" s="181"/>
      <c r="J10" s="179"/>
      <c r="K10" s="181"/>
    </row>
    <row r="11" spans="1:11" ht="15.75" thickBot="1">
      <c r="A11" s="1716" t="s">
        <v>903</v>
      </c>
      <c r="B11" s="1716"/>
      <c r="C11" s="1716"/>
      <c r="D11" s="1716"/>
      <c r="E11" s="1717"/>
      <c r="F11" s="179">
        <v>1</v>
      </c>
      <c r="G11" s="181"/>
      <c r="H11" s="179">
        <v>49.15</v>
      </c>
      <c r="I11" s="181"/>
      <c r="J11" s="187">
        <f>H11</f>
        <v>49.15</v>
      </c>
      <c r="K11" s="181"/>
    </row>
    <row r="12" spans="1:11" ht="16.5" thickTop="1">
      <c r="A12" s="516"/>
      <c r="B12" s="510"/>
      <c r="C12" s="510"/>
      <c r="D12" s="510"/>
      <c r="E12" s="181"/>
      <c r="F12" s="179"/>
      <c r="G12" s="181"/>
      <c r="H12" s="179"/>
      <c r="I12" s="180"/>
      <c r="J12" s="179"/>
      <c r="K12" s="181"/>
    </row>
    <row r="13" spans="1:11" ht="15.75" thickBot="1">
      <c r="A13" s="1713" t="s">
        <v>905</v>
      </c>
      <c r="B13" s="1714"/>
      <c r="C13" s="1714"/>
      <c r="D13" s="1714"/>
      <c r="E13" s="1715"/>
      <c r="F13" s="179">
        <v>1</v>
      </c>
      <c r="G13" s="181"/>
      <c r="H13" s="179">
        <v>19.3</v>
      </c>
      <c r="I13" s="181"/>
      <c r="J13" s="187">
        <f>H13</f>
        <v>19.3</v>
      </c>
      <c r="K13" s="181"/>
    </row>
    <row r="14" spans="1:11" ht="15.75" thickTop="1">
      <c r="A14" s="212"/>
      <c r="B14" s="1692"/>
      <c r="C14" s="1692"/>
      <c r="D14" s="1692"/>
      <c r="E14" s="181"/>
      <c r="F14" s="179"/>
      <c r="G14" s="181"/>
      <c r="H14" s="179"/>
      <c r="I14" s="181"/>
      <c r="J14" s="179"/>
      <c r="K14" s="181"/>
    </row>
    <row r="15" spans="1:11" ht="15.75" thickBot="1">
      <c r="A15" s="1713" t="s">
        <v>904</v>
      </c>
      <c r="B15" s="1714"/>
      <c r="C15" s="1714"/>
      <c r="D15" s="1714"/>
      <c r="E15" s="1715"/>
      <c r="F15" s="179">
        <v>1</v>
      </c>
      <c r="G15" s="181"/>
      <c r="H15" s="179">
        <v>30.08</v>
      </c>
      <c r="I15" s="181"/>
      <c r="J15" s="187">
        <f>H15</f>
        <v>30.08</v>
      </c>
      <c r="K15" s="181"/>
    </row>
    <row r="16" spans="1:11" ht="15.75" thickTop="1">
      <c r="A16" s="185"/>
      <c r="B16" s="186"/>
      <c r="C16" s="180"/>
      <c r="D16" s="180"/>
      <c r="E16" s="181"/>
      <c r="F16" s="179"/>
      <c r="G16" s="181"/>
      <c r="H16" s="179"/>
      <c r="I16" s="181"/>
      <c r="J16" s="179"/>
      <c r="K16" s="181"/>
    </row>
    <row r="17" spans="1:11" ht="15.75">
      <c r="A17" s="212"/>
      <c r="B17" s="651" t="s">
        <v>906</v>
      </c>
      <c r="C17" s="180"/>
      <c r="D17" s="180"/>
      <c r="E17" s="181"/>
      <c r="F17" s="179"/>
      <c r="G17" s="181"/>
      <c r="H17" s="179"/>
      <c r="I17" s="181"/>
      <c r="J17" s="179"/>
      <c r="K17" s="181"/>
    </row>
    <row r="18" spans="1:11">
      <c r="A18" s="185"/>
      <c r="B18" s="186"/>
      <c r="C18" s="180"/>
      <c r="D18" s="180"/>
      <c r="E18" s="181"/>
      <c r="F18" s="179"/>
      <c r="G18" s="181"/>
      <c r="H18" s="179"/>
      <c r="I18" s="181"/>
      <c r="J18" s="179"/>
      <c r="K18" s="181"/>
    </row>
    <row r="19" spans="1:11" ht="15.75" thickBot="1">
      <c r="A19" s="185"/>
      <c r="B19" s="180" t="s">
        <v>907</v>
      </c>
      <c r="C19" s="180"/>
      <c r="D19" s="180"/>
      <c r="E19" s="181"/>
      <c r="F19" s="179">
        <v>1</v>
      </c>
      <c r="G19" s="181"/>
      <c r="H19" s="179">
        <v>1</v>
      </c>
      <c r="I19" s="181"/>
      <c r="J19" s="187">
        <v>1</v>
      </c>
      <c r="K19" s="181"/>
    </row>
    <row r="20" spans="1:11" ht="15.75" thickTop="1">
      <c r="A20" s="197"/>
      <c r="B20" s="198"/>
      <c r="C20" s="198"/>
      <c r="D20" s="198"/>
      <c r="E20" s="181"/>
      <c r="F20" s="179"/>
      <c r="G20" s="181"/>
      <c r="H20" s="179"/>
      <c r="I20" s="180"/>
      <c r="J20" s="179"/>
      <c r="K20" s="181"/>
    </row>
    <row r="21" spans="1:11" ht="15.75" thickBot="1">
      <c r="A21" s="197"/>
      <c r="B21" s="180" t="s">
        <v>908</v>
      </c>
      <c r="C21" s="198"/>
      <c r="D21" s="198"/>
      <c r="E21" s="181"/>
      <c r="F21" s="179">
        <v>1</v>
      </c>
      <c r="G21" s="181"/>
      <c r="H21" s="179">
        <v>1</v>
      </c>
      <c r="I21" s="181"/>
      <c r="J21" s="187">
        <v>1</v>
      </c>
      <c r="K21" s="181"/>
    </row>
    <row r="22" spans="1:11" ht="15.75" thickTop="1">
      <c r="A22" s="197"/>
      <c r="B22" s="198"/>
      <c r="C22" s="198"/>
      <c r="D22" s="198"/>
      <c r="E22" s="181"/>
      <c r="F22" s="179"/>
      <c r="G22" s="181"/>
      <c r="H22" s="179"/>
      <c r="I22" s="181"/>
      <c r="J22" s="179"/>
      <c r="K22" s="181"/>
    </row>
    <row r="23" spans="1:11" ht="15.75" thickBot="1">
      <c r="A23" s="648"/>
      <c r="B23" s="180" t="s">
        <v>909</v>
      </c>
      <c r="C23" s="198"/>
      <c r="D23" s="198"/>
      <c r="E23" s="181"/>
      <c r="F23" s="179">
        <v>1</v>
      </c>
      <c r="G23" s="181"/>
      <c r="H23" s="179">
        <v>1</v>
      </c>
      <c r="I23" s="181"/>
      <c r="J23" s="187">
        <v>1</v>
      </c>
      <c r="K23" s="181"/>
    </row>
    <row r="24" spans="1:11" ht="15.75" thickTop="1">
      <c r="A24" s="197"/>
      <c r="B24" s="196" t="s">
        <v>910</v>
      </c>
      <c r="C24" s="198"/>
      <c r="D24" s="198"/>
      <c r="E24" s="181"/>
      <c r="F24" s="179"/>
      <c r="G24" s="181"/>
      <c r="H24" s="179"/>
      <c r="I24" s="181"/>
      <c r="J24" s="179"/>
      <c r="K24" s="181"/>
    </row>
    <row r="25" spans="1:11">
      <c r="A25" s="648"/>
      <c r="B25" s="649"/>
      <c r="C25" s="180"/>
      <c r="D25" s="649"/>
      <c r="E25" s="650"/>
      <c r="F25" s="179"/>
      <c r="G25" s="181"/>
      <c r="H25" s="179"/>
      <c r="I25" s="181"/>
      <c r="J25" s="179"/>
      <c r="K25" s="181"/>
    </row>
    <row r="26" spans="1:11">
      <c r="A26" s="212"/>
      <c r="B26" s="541"/>
      <c r="C26" s="180"/>
      <c r="D26" s="541"/>
      <c r="E26" s="181"/>
      <c r="F26" s="179"/>
      <c r="G26" s="181"/>
      <c r="H26" s="179"/>
      <c r="I26" s="181"/>
      <c r="J26" s="179"/>
      <c r="K26" s="181"/>
    </row>
    <row r="27" spans="1:11">
      <c r="A27" s="214"/>
      <c r="B27" s="186"/>
      <c r="C27" s="180"/>
      <c r="D27" s="180"/>
      <c r="E27" s="181"/>
      <c r="F27" s="179"/>
      <c r="G27" s="181"/>
      <c r="H27" s="179"/>
      <c r="I27" s="181"/>
      <c r="J27" s="179"/>
      <c r="K27" s="181"/>
    </row>
    <row r="28" spans="1:11">
      <c r="A28" s="185"/>
      <c r="B28" s="186"/>
      <c r="C28" s="180"/>
      <c r="D28" s="180"/>
      <c r="E28" s="181"/>
      <c r="F28" s="179"/>
      <c r="G28" s="181"/>
      <c r="H28" s="179"/>
      <c r="I28" s="181"/>
      <c r="J28" s="179"/>
      <c r="K28" s="181"/>
    </row>
    <row r="29" spans="1:11">
      <c r="A29" s="212"/>
      <c r="B29" s="541"/>
      <c r="C29" s="180"/>
      <c r="D29" s="180"/>
      <c r="E29" s="181"/>
      <c r="F29" s="179"/>
      <c r="G29" s="181"/>
      <c r="H29" s="179"/>
      <c r="I29" s="181"/>
      <c r="J29" s="185"/>
      <c r="K29" s="181"/>
    </row>
    <row r="30" spans="1:11">
      <c r="A30" s="197"/>
      <c r="B30" s="198"/>
      <c r="C30" s="198"/>
      <c r="D30" s="198"/>
      <c r="E30" s="181"/>
      <c r="F30" s="179"/>
      <c r="G30" s="181"/>
      <c r="H30" s="179"/>
      <c r="I30" s="180"/>
      <c r="J30" s="179"/>
      <c r="K30" s="181"/>
    </row>
    <row r="31" spans="1:11" ht="15.75">
      <c r="A31" s="197"/>
      <c r="B31" s="646"/>
      <c r="C31" s="198"/>
      <c r="D31" s="198"/>
      <c r="E31" s="181"/>
      <c r="F31" s="179"/>
      <c r="G31" s="181"/>
      <c r="H31" s="179"/>
      <c r="I31" s="181"/>
      <c r="J31" s="179"/>
      <c r="K31" s="181"/>
    </row>
    <row r="32" spans="1:11">
      <c r="A32" s="197"/>
      <c r="B32" s="198"/>
      <c r="C32" s="198"/>
      <c r="D32" s="198"/>
      <c r="E32" s="181"/>
      <c r="F32" s="179"/>
      <c r="G32" s="181"/>
      <c r="H32" s="179"/>
      <c r="I32" s="181"/>
      <c r="J32" s="185"/>
      <c r="K32" s="181"/>
    </row>
    <row r="33" spans="1:11">
      <c r="A33" s="197"/>
      <c r="B33" s="198"/>
      <c r="C33" s="198"/>
      <c r="D33" s="198"/>
      <c r="E33" s="181"/>
      <c r="F33" s="179"/>
      <c r="G33" s="181"/>
      <c r="H33" s="179"/>
      <c r="I33" s="180"/>
      <c r="J33" s="179"/>
      <c r="K33" s="181"/>
    </row>
    <row r="34" spans="1:11">
      <c r="A34" s="197"/>
      <c r="B34" s="198"/>
      <c r="C34" s="198"/>
      <c r="D34" s="198"/>
      <c r="E34" s="181"/>
      <c r="F34" s="179"/>
      <c r="G34" s="181"/>
      <c r="H34" s="179"/>
      <c r="I34" s="180"/>
      <c r="J34" s="179"/>
      <c r="K34" s="181"/>
    </row>
    <row r="35" spans="1:11">
      <c r="A35" s="197"/>
      <c r="B35" s="198"/>
      <c r="C35" s="198"/>
      <c r="D35" s="198"/>
      <c r="E35" s="181"/>
      <c r="F35" s="179"/>
      <c r="G35" s="181"/>
      <c r="H35" s="179"/>
      <c r="I35" s="180"/>
      <c r="J35" s="179"/>
      <c r="K35" s="181"/>
    </row>
    <row r="36" spans="1:11">
      <c r="A36" s="197"/>
      <c r="B36" s="198"/>
      <c r="C36" s="198"/>
      <c r="D36" s="198"/>
      <c r="E36" s="181"/>
      <c r="F36" s="179"/>
      <c r="G36" s="181"/>
      <c r="H36" s="179"/>
      <c r="I36" s="180"/>
      <c r="J36" s="179"/>
      <c r="K36" s="181"/>
    </row>
    <row r="37" spans="1:11">
      <c r="A37" s="197"/>
      <c r="B37" s="198"/>
      <c r="C37" s="198"/>
      <c r="D37" s="198"/>
      <c r="E37" s="181"/>
      <c r="F37" s="179"/>
      <c r="G37" s="181"/>
      <c r="H37" s="179"/>
      <c r="I37" s="180"/>
      <c r="J37" s="179"/>
      <c r="K37" s="181"/>
    </row>
    <row r="38" spans="1:11">
      <c r="A38" s="197"/>
      <c r="B38" s="198"/>
      <c r="C38" s="198"/>
      <c r="D38" s="198"/>
      <c r="E38" s="181"/>
      <c r="F38" s="179"/>
      <c r="G38" s="181"/>
      <c r="H38" s="179"/>
      <c r="I38" s="180"/>
      <c r="J38" s="179"/>
      <c r="K38" s="181"/>
    </row>
    <row r="39" spans="1:11">
      <c r="A39" s="197"/>
      <c r="B39" s="198"/>
      <c r="C39" s="198"/>
      <c r="D39" s="198"/>
      <c r="E39" s="181"/>
      <c r="F39" s="179"/>
      <c r="G39" s="181"/>
      <c r="H39" s="179"/>
      <c r="I39" s="180"/>
      <c r="J39" s="179"/>
      <c r="K39" s="181"/>
    </row>
    <row r="40" spans="1:11">
      <c r="A40" s="197"/>
      <c r="B40" s="198"/>
      <c r="C40" s="198"/>
      <c r="D40" s="198"/>
      <c r="E40" s="181"/>
      <c r="F40" s="179"/>
      <c r="G40" s="181"/>
      <c r="H40" s="179"/>
      <c r="I40" s="180"/>
      <c r="J40" s="179"/>
      <c r="K40" s="181"/>
    </row>
    <row r="41" spans="1:11">
      <c r="A41" s="197"/>
      <c r="B41" s="198"/>
      <c r="C41" s="198"/>
      <c r="D41" s="198"/>
      <c r="E41" s="181"/>
      <c r="F41" s="179"/>
      <c r="G41" s="181"/>
      <c r="H41" s="179"/>
      <c r="I41" s="180"/>
      <c r="J41" s="179"/>
      <c r="K41" s="181"/>
    </row>
    <row r="42" spans="1:11">
      <c r="A42" s="197"/>
      <c r="B42" s="198"/>
      <c r="C42" s="198"/>
      <c r="D42" s="198"/>
      <c r="E42" s="181"/>
      <c r="F42" s="179"/>
      <c r="G42" s="181"/>
      <c r="H42" s="179"/>
      <c r="I42" s="180"/>
      <c r="J42" s="179"/>
      <c r="K42" s="181"/>
    </row>
    <row r="43" spans="1:11">
      <c r="A43" s="197"/>
      <c r="B43" s="198"/>
      <c r="C43" s="198"/>
      <c r="D43" s="198"/>
      <c r="E43" s="181"/>
      <c r="F43" s="179"/>
      <c r="G43" s="181"/>
      <c r="H43" s="179"/>
      <c r="I43" s="180"/>
      <c r="J43" s="179"/>
      <c r="K43" s="181"/>
    </row>
    <row r="44" spans="1:11">
      <c r="A44" s="197"/>
      <c r="B44" s="198"/>
      <c r="C44" s="198"/>
      <c r="D44" s="198"/>
      <c r="E44" s="181"/>
      <c r="F44" s="179"/>
      <c r="G44" s="181"/>
      <c r="H44" s="179"/>
      <c r="I44" s="180"/>
      <c r="J44" s="179"/>
      <c r="K44" s="181"/>
    </row>
    <row r="45" spans="1:11">
      <c r="A45" s="197"/>
      <c r="B45" s="198"/>
      <c r="C45" s="198"/>
      <c r="D45" s="198"/>
      <c r="E45" s="181"/>
      <c r="F45" s="179"/>
      <c r="G45" s="181"/>
      <c r="H45" s="179"/>
      <c r="I45" s="180"/>
      <c r="J45" s="179"/>
      <c r="K45" s="181"/>
    </row>
    <row r="46" spans="1:11">
      <c r="A46" s="179"/>
      <c r="B46" s="180"/>
      <c r="C46" s="180"/>
      <c r="D46" s="180"/>
      <c r="E46" s="180"/>
      <c r="F46" s="174"/>
      <c r="G46" s="180"/>
      <c r="H46" s="174"/>
      <c r="I46" s="180"/>
      <c r="J46" s="174"/>
      <c r="K46" s="181"/>
    </row>
    <row r="47" spans="1:11">
      <c r="A47" s="188"/>
      <c r="B47" s="29"/>
      <c r="C47" s="1576" t="s">
        <v>10</v>
      </c>
      <c r="D47" s="1577"/>
      <c r="E47" s="189" t="s">
        <v>18</v>
      </c>
      <c r="F47" s="190" t="s">
        <v>19</v>
      </c>
      <c r="G47" s="191"/>
      <c r="H47" s="191"/>
      <c r="I47" s="191"/>
      <c r="J47" s="191"/>
      <c r="K47" s="192"/>
    </row>
    <row r="48" spans="1:11">
      <c r="A48" s="193" t="s">
        <v>15</v>
      </c>
      <c r="B48" s="188"/>
      <c r="C48" s="1568"/>
      <c r="D48" s="1569"/>
      <c r="E48" s="191"/>
      <c r="F48" s="191"/>
      <c r="G48" s="191"/>
      <c r="H48" s="191"/>
      <c r="I48" s="191"/>
      <c r="J48" s="191"/>
      <c r="K48" s="192"/>
    </row>
    <row r="49" spans="1:11">
      <c r="A49" s="193" t="s">
        <v>16</v>
      </c>
      <c r="B49" s="188"/>
      <c r="C49" s="1568"/>
      <c r="D49" s="1569"/>
      <c r="E49" s="191"/>
      <c r="F49" s="191"/>
      <c r="G49" s="191"/>
      <c r="H49" s="191"/>
      <c r="I49" s="191"/>
      <c r="J49" s="191"/>
      <c r="K49" s="192"/>
    </row>
    <row r="50" spans="1:11">
      <c r="A50" s="193" t="s">
        <v>553</v>
      </c>
      <c r="B50" s="188"/>
      <c r="C50" s="1568"/>
      <c r="D50" s="1569"/>
      <c r="E50" s="191"/>
      <c r="F50" s="191"/>
      <c r="G50" s="191"/>
      <c r="H50" s="191"/>
      <c r="I50" s="191"/>
      <c r="J50" s="191"/>
      <c r="K50" s="192"/>
    </row>
  </sheetData>
  <mergeCells count="14">
    <mergeCell ref="C50:D50"/>
    <mergeCell ref="A11:E11"/>
    <mergeCell ref="A15:E15"/>
    <mergeCell ref="A13:E13"/>
    <mergeCell ref="B14:D14"/>
    <mergeCell ref="C47:D47"/>
    <mergeCell ref="C48:D48"/>
    <mergeCell ref="C49:D49"/>
    <mergeCell ref="G5:I5"/>
    <mergeCell ref="A1:B1"/>
    <mergeCell ref="C1:E2"/>
    <mergeCell ref="F2:G2"/>
    <mergeCell ref="H2:I2"/>
    <mergeCell ref="F4:H4"/>
  </mergeCells>
  <pageMargins left="0.7" right="0.7" top="0.75" bottom="0.75" header="0.3" footer="0.3"/>
  <pageSetup paperSize="9" scale="86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2:R256"/>
  <sheetViews>
    <sheetView tabSelected="1" view="pageBreakPreview" topLeftCell="A189" zoomScale="60" workbookViewId="0">
      <selection activeCell="O215" sqref="O215"/>
    </sheetView>
  </sheetViews>
  <sheetFormatPr defaultRowHeight="15"/>
  <cols>
    <col min="1" max="1" width="5.85546875" customWidth="1"/>
    <col min="2" max="2" width="13.85546875" customWidth="1"/>
    <col min="8" max="8" width="12.42578125" customWidth="1"/>
    <col min="9" max="9" width="12.5703125" customWidth="1"/>
    <col min="10" max="10" width="14.85546875" customWidth="1"/>
  </cols>
  <sheetData>
    <row r="2" spans="1:10" ht="15.75" thickBot="1"/>
    <row r="3" spans="1:10">
      <c r="A3" s="1605" t="s">
        <v>0</v>
      </c>
      <c r="B3" s="1606"/>
      <c r="C3" s="1607" t="s">
        <v>4</v>
      </c>
      <c r="D3" s="1608"/>
      <c r="E3" s="1609"/>
      <c r="F3" s="897" t="s">
        <v>7</v>
      </c>
      <c r="G3" s="898"/>
      <c r="H3" s="899" t="s">
        <v>8</v>
      </c>
      <c r="I3" s="899" t="s">
        <v>61</v>
      </c>
      <c r="J3" s="900"/>
    </row>
    <row r="4" spans="1:10" ht="15.75">
      <c r="A4" s="901" t="s">
        <v>552</v>
      </c>
      <c r="B4" s="169"/>
      <c r="C4" s="1583"/>
      <c r="D4" s="1584"/>
      <c r="E4" s="1585"/>
      <c r="F4" s="1595">
        <v>20</v>
      </c>
      <c r="G4" s="1596"/>
      <c r="H4" s="1185"/>
      <c r="I4" s="479"/>
      <c r="J4" s="902" t="s">
        <v>767</v>
      </c>
    </row>
    <row r="5" spans="1:10">
      <c r="A5" s="903" t="s">
        <v>2</v>
      </c>
      <c r="B5" s="171"/>
      <c r="C5" s="167" t="s">
        <v>5</v>
      </c>
      <c r="D5" s="172"/>
      <c r="E5" s="166"/>
      <c r="F5" s="165" t="s">
        <v>9</v>
      </c>
      <c r="G5" s="172"/>
      <c r="H5" s="172"/>
      <c r="I5" s="172"/>
      <c r="J5" s="904"/>
    </row>
    <row r="6" spans="1:10">
      <c r="A6" s="905" t="s">
        <v>490</v>
      </c>
      <c r="B6" s="173"/>
      <c r="C6" s="174"/>
      <c r="D6" s="456">
        <v>2</v>
      </c>
      <c r="E6" s="175"/>
      <c r="F6" s="1595" t="str">
        <f>A11</f>
        <v>1) Fuel Tank Foundation</v>
      </c>
      <c r="G6" s="1727"/>
      <c r="H6" s="1727"/>
      <c r="I6" s="1727"/>
      <c r="J6" s="906"/>
    </row>
    <row r="7" spans="1:10">
      <c r="A7" s="903" t="s">
        <v>491</v>
      </c>
      <c r="B7" s="282"/>
      <c r="C7" s="165" t="s">
        <v>6</v>
      </c>
      <c r="D7" s="1588" t="s">
        <v>1186</v>
      </c>
      <c r="E7" s="1589"/>
      <c r="F7" s="165" t="s">
        <v>10</v>
      </c>
      <c r="G7" s="172"/>
      <c r="H7" s="172"/>
      <c r="I7" s="172"/>
      <c r="J7" s="904"/>
    </row>
    <row r="8" spans="1:10">
      <c r="A8" s="905" t="s">
        <v>1288</v>
      </c>
      <c r="B8" s="173"/>
      <c r="C8" s="174"/>
      <c r="D8" s="177"/>
      <c r="E8" s="175"/>
      <c r="F8" s="178"/>
      <c r="G8" s="177"/>
      <c r="H8" s="177"/>
      <c r="I8" s="177"/>
      <c r="J8" s="906"/>
    </row>
    <row r="9" spans="1:10">
      <c r="A9" s="907"/>
      <c r="B9" s="180"/>
      <c r="C9" s="180"/>
      <c r="D9" s="180"/>
      <c r="E9" s="180"/>
      <c r="F9" s="180"/>
      <c r="G9" s="180"/>
      <c r="H9" s="180"/>
      <c r="I9" s="180"/>
      <c r="J9" s="908"/>
    </row>
    <row r="10" spans="1:10">
      <c r="A10" s="909" t="s">
        <v>11</v>
      </c>
      <c r="B10" s="183"/>
      <c r="C10" s="172"/>
      <c r="D10" s="172"/>
      <c r="E10" s="166"/>
      <c r="F10" s="184" t="s">
        <v>12</v>
      </c>
      <c r="G10" s="166"/>
      <c r="H10" s="184" t="s">
        <v>13</v>
      </c>
      <c r="I10" s="1071" t="s">
        <v>14</v>
      </c>
      <c r="J10" s="904" t="s">
        <v>1189</v>
      </c>
    </row>
    <row r="11" spans="1:10" ht="16.5">
      <c r="A11" s="1728" t="s">
        <v>1289</v>
      </c>
      <c r="B11" s="1729"/>
      <c r="C11" s="1729"/>
      <c r="D11" s="180"/>
      <c r="E11" s="181"/>
      <c r="F11" s="179"/>
      <c r="G11" s="181"/>
      <c r="H11" s="179"/>
      <c r="I11" s="1072"/>
      <c r="J11" s="908"/>
    </row>
    <row r="12" spans="1:10" ht="6" hidden="1" customHeight="1">
      <c r="A12" s="1597"/>
      <c r="B12" s="1598"/>
      <c r="C12" s="1598"/>
      <c r="D12" s="1598"/>
      <c r="E12" s="181"/>
      <c r="F12" s="179"/>
      <c r="G12" s="181"/>
      <c r="H12" s="179"/>
      <c r="I12" s="1072"/>
      <c r="J12" s="908"/>
    </row>
    <row r="13" spans="1:10" hidden="1">
      <c r="A13" s="1597"/>
      <c r="B13" s="1598"/>
      <c r="C13" s="1598"/>
      <c r="D13" s="1598"/>
      <c r="E13" s="181"/>
      <c r="F13" s="179"/>
      <c r="G13" s="181"/>
      <c r="H13" s="179"/>
      <c r="I13" s="1072"/>
      <c r="J13" s="908"/>
    </row>
    <row r="14" spans="1:10" hidden="1">
      <c r="A14" s="1597"/>
      <c r="B14" s="1598"/>
      <c r="C14" s="1598"/>
      <c r="D14" s="1598"/>
      <c r="E14" s="181"/>
      <c r="F14" s="179"/>
      <c r="G14" s="181"/>
      <c r="H14" s="179"/>
      <c r="I14" s="1072"/>
      <c r="J14" s="908"/>
    </row>
    <row r="15" spans="1:10" ht="16.5">
      <c r="A15" s="910" t="s">
        <v>1352</v>
      </c>
      <c r="B15" s="186"/>
      <c r="C15" s="180"/>
      <c r="D15" s="180"/>
      <c r="E15" s="181"/>
      <c r="F15" s="179"/>
      <c r="G15" s="181"/>
      <c r="H15" s="179"/>
      <c r="I15" s="1072"/>
      <c r="J15" s="908"/>
    </row>
    <row r="16" spans="1:10">
      <c r="A16" s="911"/>
      <c r="B16" s="198"/>
      <c r="C16" s="198"/>
      <c r="D16" s="198"/>
      <c r="E16" s="181"/>
      <c r="F16" s="179">
        <v>1</v>
      </c>
      <c r="G16" s="181"/>
      <c r="H16" s="179">
        <v>2.5</v>
      </c>
      <c r="J16" s="908"/>
    </row>
    <row r="17" spans="1:10" ht="15.75" thickBot="1">
      <c r="A17" s="912"/>
      <c r="B17" s="198"/>
      <c r="C17" s="198"/>
      <c r="D17" s="198"/>
      <c r="E17" s="181"/>
      <c r="F17" s="179"/>
      <c r="G17" s="181"/>
      <c r="H17" s="174">
        <v>3.8</v>
      </c>
      <c r="I17" s="1073">
        <f>H17*H16</f>
        <v>9.5</v>
      </c>
      <c r="J17" s="908" t="s">
        <v>842</v>
      </c>
    </row>
    <row r="18" spans="1:10" ht="15.75" thickTop="1">
      <c r="A18" s="1592"/>
      <c r="B18" s="1593"/>
      <c r="C18" s="1593"/>
      <c r="D18" s="1593"/>
      <c r="E18" s="1594"/>
      <c r="F18" s="180"/>
      <c r="G18" s="180"/>
      <c r="H18" s="179"/>
      <c r="I18" s="1072"/>
      <c r="J18" s="908"/>
    </row>
    <row r="19" spans="1:10" ht="16.5">
      <c r="A19" s="910" t="s">
        <v>1290</v>
      </c>
      <c r="B19" s="186"/>
      <c r="C19" s="180"/>
      <c r="D19" s="180"/>
      <c r="E19" s="181"/>
      <c r="F19" s="179">
        <v>1</v>
      </c>
      <c r="G19" s="181"/>
      <c r="H19" s="179">
        <v>2.4</v>
      </c>
      <c r="I19" s="1072"/>
      <c r="J19" s="908"/>
    </row>
    <row r="20" spans="1:10">
      <c r="A20" s="1592"/>
      <c r="B20" s="1593"/>
      <c r="C20" s="1593"/>
      <c r="D20" s="1593"/>
      <c r="E20" s="1594"/>
      <c r="F20" s="180"/>
      <c r="G20" s="180"/>
      <c r="H20" s="179">
        <v>3.7</v>
      </c>
      <c r="I20" s="1072"/>
      <c r="J20" s="908"/>
    </row>
    <row r="21" spans="1:10" ht="15.75" thickBot="1">
      <c r="A21" s="1186"/>
      <c r="B21" s="1187"/>
      <c r="C21" s="1187"/>
      <c r="D21" s="1187"/>
      <c r="E21" s="1188"/>
      <c r="F21" s="180"/>
      <c r="G21" s="180"/>
      <c r="H21" s="174">
        <v>0.2</v>
      </c>
      <c r="I21" s="1079">
        <f>H21*H20*H19*F19</f>
        <v>1.7760000000000002</v>
      </c>
      <c r="J21" s="908" t="s">
        <v>141</v>
      </c>
    </row>
    <row r="22" spans="1:10" ht="15.75" thickTop="1">
      <c r="A22" s="1186"/>
      <c r="B22" s="1187"/>
      <c r="C22" s="1187"/>
      <c r="D22" s="1187"/>
      <c r="E22" s="1188"/>
      <c r="F22" s="180"/>
      <c r="G22" s="180"/>
      <c r="H22" s="179"/>
      <c r="I22" s="1072"/>
      <c r="J22" s="908"/>
    </row>
    <row r="23" spans="1:10" ht="16.5">
      <c r="A23" s="910" t="s">
        <v>1291</v>
      </c>
      <c r="B23" s="186"/>
      <c r="C23" s="180"/>
      <c r="D23" s="180"/>
      <c r="E23" s="181"/>
      <c r="F23" s="179"/>
      <c r="G23" s="181"/>
      <c r="H23" s="179"/>
      <c r="I23" s="1072"/>
      <c r="J23" s="908"/>
    </row>
    <row r="24" spans="1:10" ht="17.25" thickBot="1">
      <c r="A24" s="910" t="s">
        <v>1292</v>
      </c>
      <c r="B24" s="186"/>
      <c r="C24" s="180"/>
      <c r="D24" s="180"/>
      <c r="E24" s="181"/>
      <c r="F24" s="179">
        <v>1</v>
      </c>
      <c r="G24" s="181"/>
      <c r="H24" s="174">
        <v>137.83000000000001</v>
      </c>
      <c r="I24" s="1079">
        <f>H24</f>
        <v>137.83000000000001</v>
      </c>
      <c r="J24" s="908" t="s">
        <v>103</v>
      </c>
    </row>
    <row r="25" spans="1:10" ht="17.25" thickTop="1">
      <c r="A25" s="910"/>
      <c r="B25" s="186"/>
      <c r="C25" s="180"/>
      <c r="D25" s="180"/>
      <c r="E25" s="181"/>
      <c r="F25" s="179"/>
      <c r="G25" s="181"/>
      <c r="H25" s="179"/>
      <c r="I25" s="1072"/>
      <c r="J25" s="908"/>
    </row>
    <row r="26" spans="1:10" ht="16.5">
      <c r="A26" s="910" t="s">
        <v>1293</v>
      </c>
      <c r="B26" s="186"/>
      <c r="C26" s="180"/>
      <c r="D26" s="180"/>
      <c r="E26" s="181"/>
      <c r="F26" s="179"/>
      <c r="G26" s="181"/>
      <c r="H26" s="179"/>
      <c r="I26" s="1072"/>
      <c r="J26" s="908"/>
    </row>
    <row r="27" spans="1:10" ht="16.5">
      <c r="A27" s="910" t="s">
        <v>1294</v>
      </c>
      <c r="B27" s="186"/>
      <c r="C27" s="180"/>
      <c r="D27" s="180"/>
      <c r="E27" s="181"/>
      <c r="F27" s="179">
        <v>2</v>
      </c>
      <c r="G27" s="181"/>
      <c r="H27" s="179">
        <v>6.1</v>
      </c>
      <c r="I27" s="1072"/>
      <c r="J27" s="908"/>
    </row>
    <row r="28" spans="1:10" ht="15.75" thickBot="1">
      <c r="A28" s="913"/>
      <c r="B28" s="198"/>
      <c r="C28" s="198"/>
      <c r="D28" s="198"/>
      <c r="E28" s="181"/>
      <c r="F28" s="179"/>
      <c r="G28" s="181"/>
      <c r="H28" s="174">
        <v>0.2</v>
      </c>
      <c r="I28" s="1079">
        <f>H28*H27*F27</f>
        <v>2.44</v>
      </c>
      <c r="J28" s="908" t="s">
        <v>842</v>
      </c>
    </row>
    <row r="29" spans="1:10" ht="15.75" thickTop="1">
      <c r="A29" s="911"/>
      <c r="B29" s="198"/>
      <c r="C29" s="198"/>
      <c r="D29" s="198"/>
      <c r="E29" s="181"/>
      <c r="F29" s="179"/>
      <c r="G29" s="181"/>
      <c r="H29" s="179"/>
      <c r="I29" s="1074"/>
      <c r="J29" s="908"/>
    </row>
    <row r="30" spans="1:10" ht="15" customHeight="1">
      <c r="A30" s="1224" t="s">
        <v>1295</v>
      </c>
      <c r="B30" s="1223"/>
      <c r="C30" s="1221"/>
      <c r="D30" s="1221"/>
      <c r="E30" s="1222"/>
      <c r="F30" s="179"/>
      <c r="G30" s="181"/>
      <c r="H30" s="179"/>
      <c r="I30" s="1074"/>
      <c r="J30" s="908"/>
    </row>
    <row r="31" spans="1:10" ht="15" customHeight="1">
      <c r="A31" s="1724" t="s">
        <v>1296</v>
      </c>
      <c r="B31" s="1725"/>
      <c r="C31" s="1725"/>
      <c r="D31" s="1725"/>
      <c r="E31" s="1726"/>
      <c r="F31" s="179"/>
      <c r="G31" s="181"/>
      <c r="H31" s="179"/>
      <c r="I31" s="1074"/>
      <c r="J31" s="908"/>
    </row>
    <row r="32" spans="1:10">
      <c r="A32" s="911"/>
      <c r="B32" s="1189"/>
      <c r="C32" s="1189"/>
      <c r="D32" s="1189"/>
      <c r="E32" s="1190"/>
      <c r="F32" s="179"/>
      <c r="G32" s="181"/>
      <c r="H32" s="179"/>
      <c r="I32" s="1075"/>
      <c r="J32" s="908"/>
    </row>
    <row r="33" spans="1:10" ht="15" customHeight="1">
      <c r="A33" s="1724" t="s">
        <v>1297</v>
      </c>
      <c r="B33" s="1725"/>
      <c r="C33" s="1725"/>
      <c r="D33" s="1725"/>
      <c r="E33" s="1726"/>
      <c r="F33" s="179"/>
      <c r="G33" s="181"/>
      <c r="H33" s="179"/>
      <c r="I33" s="1075"/>
      <c r="J33" s="908"/>
    </row>
    <row r="34" spans="1:10" ht="15" customHeight="1">
      <c r="A34" s="1724" t="s">
        <v>1301</v>
      </c>
      <c r="B34" s="1725"/>
      <c r="C34" s="1725"/>
      <c r="D34" s="1725"/>
      <c r="E34" s="1726"/>
      <c r="F34" s="179"/>
      <c r="G34" s="181"/>
      <c r="H34" s="179"/>
      <c r="I34" s="1074"/>
      <c r="J34" s="908"/>
    </row>
    <row r="35" spans="1:10" ht="15" customHeight="1">
      <c r="A35" s="1724" t="s">
        <v>1298</v>
      </c>
      <c r="B35" s="1725"/>
      <c r="C35" s="1725"/>
      <c r="D35" s="1725"/>
      <c r="E35" s="1726"/>
      <c r="F35" s="179">
        <v>1</v>
      </c>
      <c r="G35" s="181"/>
      <c r="H35" s="179">
        <v>3.8</v>
      </c>
      <c r="I35" s="1075"/>
      <c r="J35" s="908"/>
    </row>
    <row r="36" spans="1:10" ht="15.75" thickBot="1">
      <c r="A36" s="911"/>
      <c r="B36" s="1189"/>
      <c r="C36" s="1189"/>
      <c r="D36" s="1189"/>
      <c r="E36" s="1190"/>
      <c r="F36" s="179"/>
      <c r="G36" s="181"/>
      <c r="H36" s="1080">
        <v>3</v>
      </c>
      <c r="I36" s="1073">
        <f>H36*H35</f>
        <v>11.399999999999999</v>
      </c>
      <c r="J36" s="908" t="s">
        <v>842</v>
      </c>
    </row>
    <row r="37" spans="1:10" ht="15.75" thickTop="1">
      <c r="A37" s="911"/>
      <c r="B37" s="1189"/>
      <c r="C37" s="1189"/>
      <c r="D37" s="1189"/>
      <c r="E37" s="1190"/>
      <c r="F37" s="179"/>
      <c r="G37" s="181"/>
      <c r="H37" s="179"/>
      <c r="I37" s="1075"/>
      <c r="J37" s="908"/>
    </row>
    <row r="38" spans="1:10" ht="15" customHeight="1">
      <c r="A38" s="1724" t="s">
        <v>1299</v>
      </c>
      <c r="B38" s="1725"/>
      <c r="C38" s="1725"/>
      <c r="D38" s="1725"/>
      <c r="E38" s="1726"/>
      <c r="F38" s="179">
        <v>1</v>
      </c>
      <c r="G38" s="181"/>
      <c r="H38" s="179">
        <v>3.8</v>
      </c>
      <c r="I38" s="1075"/>
      <c r="J38" s="908"/>
    </row>
    <row r="39" spans="1:10" ht="15.75" thickBot="1">
      <c r="A39" s="1592"/>
      <c r="B39" s="1593"/>
      <c r="C39" s="1593"/>
      <c r="D39" s="1593"/>
      <c r="E39" s="1594"/>
      <c r="F39" s="179"/>
      <c r="G39" s="181"/>
      <c r="H39" s="1080">
        <v>3</v>
      </c>
      <c r="I39" s="1077">
        <f>H39*H38*F38</f>
        <v>11.399999999999999</v>
      </c>
      <c r="J39" s="908" t="s">
        <v>842</v>
      </c>
    </row>
    <row r="40" spans="1:10" ht="15.75" thickTop="1">
      <c r="A40" s="1186"/>
      <c r="B40" s="1187"/>
      <c r="C40" s="1187"/>
      <c r="D40" s="1187"/>
      <c r="E40" s="1188"/>
      <c r="F40" s="179"/>
      <c r="G40" s="181"/>
      <c r="H40" s="179"/>
      <c r="I40" s="1074"/>
      <c r="J40" s="908"/>
    </row>
    <row r="41" spans="1:10" ht="15" customHeight="1">
      <c r="A41" s="1724" t="s">
        <v>1300</v>
      </c>
      <c r="B41" s="1725"/>
      <c r="C41" s="1725"/>
      <c r="D41" s="1725"/>
      <c r="E41" s="1726"/>
      <c r="F41" s="179">
        <v>1</v>
      </c>
      <c r="G41" s="181"/>
      <c r="H41" s="179">
        <v>3.4</v>
      </c>
      <c r="I41" s="1075"/>
      <c r="J41" s="908"/>
    </row>
    <row r="42" spans="1:10">
      <c r="A42" s="1592"/>
      <c r="B42" s="1593"/>
      <c r="C42" s="1593"/>
      <c r="D42" s="1593"/>
      <c r="E42" s="1594"/>
      <c r="F42" s="179"/>
      <c r="G42" s="181"/>
      <c r="H42" s="179">
        <v>2</v>
      </c>
      <c r="I42" s="1074"/>
      <c r="J42" s="908"/>
    </row>
    <row r="43" spans="1:10" ht="15.75" thickBot="1">
      <c r="A43" s="1592"/>
      <c r="B43" s="1593"/>
      <c r="C43" s="1593"/>
      <c r="D43" s="1593"/>
      <c r="E43" s="1594"/>
      <c r="F43" s="179"/>
      <c r="G43" s="181"/>
      <c r="H43" s="1080">
        <v>0.3</v>
      </c>
      <c r="I43" s="1077">
        <f>H43*H42*H41*F41</f>
        <v>2.04</v>
      </c>
      <c r="J43" s="908" t="s">
        <v>141</v>
      </c>
    </row>
    <row r="44" spans="1:10" ht="15.75" thickTop="1">
      <c r="A44" s="1592"/>
      <c r="B44" s="1593"/>
      <c r="C44" s="1593"/>
      <c r="D44" s="1593"/>
      <c r="E44" s="1594"/>
      <c r="F44" s="179"/>
      <c r="G44" s="181"/>
      <c r="H44" s="179"/>
      <c r="I44" s="1074"/>
      <c r="J44" s="908"/>
    </row>
    <row r="45" spans="1:10" ht="15" customHeight="1">
      <c r="A45" s="1721" t="s">
        <v>1302</v>
      </c>
      <c r="B45" s="1722"/>
      <c r="C45" s="1722"/>
      <c r="D45" s="1722"/>
      <c r="E45" s="1723"/>
      <c r="F45" s="179"/>
      <c r="G45" s="181"/>
      <c r="H45" s="179"/>
      <c r="I45" s="1074"/>
      <c r="J45" s="908"/>
    </row>
    <row r="46" spans="1:10" ht="15.75" customHeight="1" thickBot="1">
      <c r="A46" s="1724" t="s">
        <v>1303</v>
      </c>
      <c r="B46" s="1725"/>
      <c r="C46" s="1725"/>
      <c r="D46" s="1725"/>
      <c r="E46" s="1726"/>
      <c r="F46" s="179">
        <v>1</v>
      </c>
      <c r="G46" s="181"/>
      <c r="H46" s="1080">
        <v>1</v>
      </c>
      <c r="I46" s="1073">
        <v>1</v>
      </c>
      <c r="J46" s="908" t="s">
        <v>1071</v>
      </c>
    </row>
    <row r="47" spans="1:10" ht="16.5" customHeight="1" thickTop="1" thickBot="1">
      <c r="A47" s="1724" t="s">
        <v>1304</v>
      </c>
      <c r="B47" s="1725"/>
      <c r="C47" s="1725"/>
      <c r="D47" s="1725"/>
      <c r="E47" s="1726"/>
      <c r="F47" s="179">
        <v>1</v>
      </c>
      <c r="G47" s="181"/>
      <c r="H47" s="1080">
        <v>1</v>
      </c>
      <c r="I47" s="1073">
        <v>1</v>
      </c>
      <c r="J47" s="908" t="s">
        <v>1071</v>
      </c>
    </row>
    <row r="48" spans="1:10" ht="15.75" thickTop="1">
      <c r="A48" s="1592"/>
      <c r="B48" s="1593"/>
      <c r="C48" s="1593"/>
      <c r="D48" s="1593"/>
      <c r="E48" s="1594"/>
      <c r="F48" s="179"/>
      <c r="G48" s="181"/>
      <c r="H48" s="179"/>
      <c r="I48" s="1074"/>
      <c r="J48" s="908"/>
    </row>
    <row r="49" spans="1:10" ht="15" customHeight="1">
      <c r="A49" s="1718" t="s">
        <v>1305</v>
      </c>
      <c r="B49" s="1719"/>
      <c r="C49" s="1719"/>
      <c r="D49" s="1719"/>
      <c r="E49" s="1720"/>
      <c r="F49" s="179">
        <v>1</v>
      </c>
      <c r="G49" s="181"/>
      <c r="H49" s="179">
        <v>4</v>
      </c>
      <c r="I49" s="1074"/>
      <c r="J49" s="908"/>
    </row>
    <row r="50" spans="1:10">
      <c r="A50" s="1186"/>
      <c r="B50" s="1187"/>
      <c r="C50" s="1187"/>
      <c r="D50" s="1187"/>
      <c r="E50" s="1188"/>
      <c r="F50" s="179"/>
      <c r="G50" s="181"/>
      <c r="H50" s="1080">
        <v>3.1</v>
      </c>
      <c r="I50" s="1191">
        <f>H50*H49*F49</f>
        <v>12.4</v>
      </c>
      <c r="J50" s="908" t="s">
        <v>842</v>
      </c>
    </row>
    <row r="51" spans="1:10">
      <c r="A51" s="1186"/>
      <c r="B51" s="1187"/>
      <c r="C51" s="1187"/>
      <c r="D51" s="1187"/>
      <c r="E51" s="1188"/>
      <c r="F51" s="179"/>
      <c r="G51" s="181"/>
      <c r="H51" s="179"/>
      <c r="J51" s="1074"/>
    </row>
    <row r="52" spans="1:10">
      <c r="A52" s="1592"/>
      <c r="B52" s="1593"/>
      <c r="C52" s="1593"/>
      <c r="D52" s="1593"/>
      <c r="E52" s="1594"/>
      <c r="F52" s="179">
        <v>1</v>
      </c>
      <c r="G52" s="181"/>
      <c r="H52" s="179">
        <v>4</v>
      </c>
      <c r="I52" s="1074"/>
      <c r="J52" s="908"/>
    </row>
    <row r="53" spans="1:10">
      <c r="A53" s="1186"/>
      <c r="B53" s="1187"/>
      <c r="C53" s="1187"/>
      <c r="D53" s="1187"/>
      <c r="E53" s="1188"/>
      <c r="F53" s="179"/>
      <c r="G53" s="181"/>
      <c r="H53" s="1080">
        <v>4.0999999999999996</v>
      </c>
      <c r="I53" s="1191">
        <f>H53*H52*F52</f>
        <v>16.399999999999999</v>
      </c>
      <c r="J53" s="908" t="s">
        <v>842</v>
      </c>
    </row>
    <row r="54" spans="1:10">
      <c r="A54" s="1186"/>
      <c r="B54" s="1187"/>
      <c r="C54" s="1187"/>
      <c r="D54" s="1187"/>
      <c r="E54" s="1188"/>
      <c r="F54" s="179"/>
      <c r="G54" s="181"/>
      <c r="H54" s="179"/>
      <c r="I54" s="1074"/>
      <c r="J54" s="908"/>
    </row>
    <row r="55" spans="1:10">
      <c r="A55" s="1186"/>
      <c r="B55" s="1187"/>
      <c r="C55" s="1187"/>
      <c r="D55" s="1187"/>
      <c r="E55" s="1188"/>
      <c r="F55" s="179">
        <v>1</v>
      </c>
      <c r="G55" s="181"/>
      <c r="H55" s="179">
        <v>2</v>
      </c>
      <c r="I55" s="1074"/>
      <c r="J55" s="908"/>
    </row>
    <row r="56" spans="1:10">
      <c r="A56" s="1186"/>
      <c r="B56" s="1187"/>
      <c r="C56" s="1187"/>
      <c r="D56" s="1187"/>
      <c r="E56" s="1188"/>
      <c r="F56" s="179"/>
      <c r="G56" s="181"/>
      <c r="H56" s="1080">
        <v>3.1</v>
      </c>
      <c r="I56" s="1191">
        <f>H56*H55*F55</f>
        <v>6.2</v>
      </c>
      <c r="J56" s="908" t="s">
        <v>842</v>
      </c>
    </row>
    <row r="57" spans="1:10" ht="15.75" thickBot="1">
      <c r="A57" s="1186"/>
      <c r="B57" s="1187"/>
      <c r="C57" s="1187"/>
      <c r="D57" s="1187" t="s">
        <v>861</v>
      </c>
      <c r="E57" s="1188"/>
      <c r="F57" s="179"/>
      <c r="G57" s="181"/>
      <c r="H57" s="179"/>
      <c r="I57" s="1192">
        <f>I56+I53+I50</f>
        <v>35</v>
      </c>
      <c r="J57" s="908" t="s">
        <v>842</v>
      </c>
    </row>
    <row r="58" spans="1:10" ht="16.5" thickTop="1" thickBot="1">
      <c r="A58" s="1200"/>
      <c r="B58" s="1201"/>
      <c r="C58" s="1201"/>
      <c r="D58" s="1201"/>
      <c r="E58" s="1202"/>
      <c r="F58" s="179"/>
      <c r="G58" s="181"/>
      <c r="H58" s="179"/>
      <c r="I58" s="1074"/>
      <c r="J58" s="908"/>
    </row>
    <row r="59" spans="1:10" ht="15.75" thickTop="1">
      <c r="A59" s="914"/>
      <c r="B59" s="215"/>
      <c r="C59" s="215" t="s">
        <v>10</v>
      </c>
      <c r="D59" s="215" t="s">
        <v>18</v>
      </c>
      <c r="E59" s="217"/>
      <c r="F59" s="216" t="s">
        <v>19</v>
      </c>
      <c r="G59" s="217"/>
      <c r="H59" s="217"/>
      <c r="I59" s="217"/>
      <c r="J59" s="915"/>
    </row>
    <row r="60" spans="1:10">
      <c r="A60" s="916" t="s">
        <v>15</v>
      </c>
      <c r="B60" s="188"/>
      <c r="C60" s="188"/>
      <c r="D60" s="194"/>
      <c r="E60" s="191"/>
      <c r="F60" s="191"/>
      <c r="G60" s="191"/>
      <c r="H60" s="191"/>
      <c r="I60" s="191"/>
      <c r="J60" s="917"/>
    </row>
    <row r="61" spans="1:10">
      <c r="A61" s="916" t="s">
        <v>16</v>
      </c>
      <c r="B61" s="188"/>
      <c r="C61" s="188"/>
      <c r="D61" s="194"/>
      <c r="E61" s="191"/>
      <c r="F61" s="191"/>
      <c r="G61" s="191"/>
      <c r="H61" s="191"/>
      <c r="I61" s="191"/>
      <c r="J61" s="917"/>
    </row>
    <row r="62" spans="1:10" ht="15.75" thickBot="1">
      <c r="A62" s="918" t="s">
        <v>553</v>
      </c>
      <c r="B62" s="919"/>
      <c r="C62" s="919"/>
      <c r="D62" s="920"/>
      <c r="E62" s="921"/>
      <c r="F62" s="921"/>
      <c r="G62" s="921"/>
      <c r="H62" s="921"/>
      <c r="I62" s="921"/>
      <c r="J62" s="922"/>
    </row>
    <row r="63" spans="1:10">
      <c r="A63" s="1200"/>
      <c r="B63" s="1201"/>
      <c r="C63" s="1201"/>
      <c r="D63" s="1201"/>
      <c r="E63" s="1289"/>
      <c r="F63" s="1744"/>
      <c r="G63" s="180"/>
      <c r="H63" s="1744"/>
      <c r="I63" s="1746"/>
      <c r="J63" s="1748"/>
    </row>
    <row r="64" spans="1:10">
      <c r="A64" s="1200"/>
      <c r="B64" s="1201"/>
      <c r="C64" s="1201"/>
      <c r="D64" s="1201"/>
      <c r="E64" s="1289"/>
      <c r="F64" s="180"/>
      <c r="G64" s="180"/>
      <c r="H64" s="180"/>
      <c r="I64" s="1263"/>
      <c r="J64" s="908"/>
    </row>
    <row r="65" spans="1:10">
      <c r="A65" s="1200"/>
      <c r="B65" s="1201"/>
      <c r="C65" s="1201"/>
      <c r="D65" s="1201"/>
      <c r="E65" s="1289"/>
      <c r="F65" s="180"/>
      <c r="G65" s="180"/>
      <c r="H65" s="180"/>
      <c r="I65" s="1263"/>
      <c r="J65" s="908"/>
    </row>
    <row r="66" spans="1:10" ht="15.75" thickBot="1">
      <c r="A66" s="1200"/>
      <c r="B66" s="1201"/>
      <c r="C66" s="1201"/>
      <c r="D66" s="1201"/>
      <c r="E66" s="1745"/>
      <c r="F66" s="180"/>
      <c r="G66" s="180"/>
      <c r="H66" s="1747"/>
      <c r="I66" s="1749"/>
      <c r="J66" s="1750"/>
    </row>
    <row r="67" spans="1:10">
      <c r="A67" s="1605" t="s">
        <v>0</v>
      </c>
      <c r="B67" s="1606"/>
      <c r="C67" s="1607" t="s">
        <v>4</v>
      </c>
      <c r="D67" s="1608"/>
      <c r="E67" s="1609"/>
      <c r="F67" s="897" t="s">
        <v>7</v>
      </c>
      <c r="G67" s="898"/>
      <c r="H67" s="899" t="s">
        <v>8</v>
      </c>
      <c r="I67" s="899" t="s">
        <v>61</v>
      </c>
      <c r="J67" s="900"/>
    </row>
    <row r="68" spans="1:10" ht="15.75">
      <c r="A68" s="901" t="s">
        <v>552</v>
      </c>
      <c r="B68" s="169"/>
      <c r="C68" s="1583"/>
      <c r="D68" s="1584"/>
      <c r="E68" s="1585"/>
      <c r="F68" s="1595">
        <v>20</v>
      </c>
      <c r="G68" s="1596"/>
      <c r="H68" s="1199"/>
      <c r="I68" s="479"/>
      <c r="J68" s="902" t="s">
        <v>767</v>
      </c>
    </row>
    <row r="69" spans="1:10">
      <c r="A69" s="903" t="s">
        <v>2</v>
      </c>
      <c r="B69" s="171"/>
      <c r="C69" s="167" t="s">
        <v>5</v>
      </c>
      <c r="D69" s="172"/>
      <c r="E69" s="166"/>
      <c r="F69" s="165" t="s">
        <v>9</v>
      </c>
      <c r="G69" s="172"/>
      <c r="H69" s="172"/>
      <c r="I69" s="172"/>
      <c r="J69" s="904"/>
    </row>
    <row r="70" spans="1:10">
      <c r="A70" s="905" t="s">
        <v>490</v>
      </c>
      <c r="B70" s="173"/>
      <c r="C70" s="174"/>
      <c r="D70" s="456">
        <v>2</v>
      </c>
      <c r="E70" s="175"/>
      <c r="F70" s="176" t="s">
        <v>1326</v>
      </c>
      <c r="G70" s="177"/>
      <c r="H70" s="177"/>
      <c r="I70" s="177"/>
      <c r="J70" s="906"/>
    </row>
    <row r="71" spans="1:10">
      <c r="A71" s="903" t="s">
        <v>491</v>
      </c>
      <c r="B71" s="282"/>
      <c r="C71" s="165" t="s">
        <v>6</v>
      </c>
      <c r="D71" s="1588" t="s">
        <v>1186</v>
      </c>
      <c r="E71" s="1589"/>
      <c r="F71" s="165" t="s">
        <v>10</v>
      </c>
      <c r="G71" s="172"/>
      <c r="H71" s="172"/>
      <c r="I71" s="172"/>
      <c r="J71" s="904"/>
    </row>
    <row r="72" spans="1:10">
      <c r="A72" s="905" t="s">
        <v>1288</v>
      </c>
      <c r="B72" s="173"/>
      <c r="C72" s="174"/>
      <c r="D72" s="177"/>
      <c r="E72" s="175"/>
      <c r="F72" s="178"/>
      <c r="G72" s="177"/>
      <c r="H72" s="177"/>
      <c r="I72" s="177"/>
      <c r="J72" s="906"/>
    </row>
    <row r="73" spans="1:10">
      <c r="A73" s="909" t="s">
        <v>11</v>
      </c>
      <c r="B73" s="183"/>
      <c r="C73" s="172"/>
      <c r="D73" s="172"/>
      <c r="E73" s="166"/>
      <c r="F73" s="184" t="s">
        <v>12</v>
      </c>
      <c r="G73" s="166"/>
      <c r="H73" s="184" t="s">
        <v>13</v>
      </c>
      <c r="I73" s="1071" t="s">
        <v>14</v>
      </c>
      <c r="J73" s="904" t="s">
        <v>1189</v>
      </c>
    </row>
    <row r="74" spans="1:10" ht="15" customHeight="1">
      <c r="A74" s="1592" t="s">
        <v>1306</v>
      </c>
      <c r="B74" s="1593"/>
      <c r="C74" s="1593"/>
      <c r="D74" s="1593"/>
      <c r="E74" s="1594"/>
      <c r="F74" s="179"/>
      <c r="G74" s="181"/>
      <c r="H74" s="179"/>
      <c r="I74" s="1074"/>
      <c r="J74" s="908"/>
    </row>
    <row r="75" spans="1:10" ht="15" customHeight="1">
      <c r="A75" s="1718" t="s">
        <v>1307</v>
      </c>
      <c r="B75" s="1719"/>
      <c r="C75" s="1719"/>
      <c r="D75" s="1719"/>
      <c r="E75" s="1720"/>
      <c r="F75" s="179">
        <v>1</v>
      </c>
      <c r="G75" s="181"/>
      <c r="H75" s="179">
        <v>9.4</v>
      </c>
      <c r="I75" s="1074"/>
      <c r="J75" s="908"/>
    </row>
    <row r="76" spans="1:10">
      <c r="A76" s="1186"/>
      <c r="B76" s="1187"/>
      <c r="C76" s="1187"/>
      <c r="D76" s="1187"/>
      <c r="E76" s="1188"/>
      <c r="F76" s="179"/>
      <c r="G76" s="181"/>
      <c r="H76" s="179">
        <v>1.5</v>
      </c>
      <c r="I76" s="1074"/>
      <c r="J76" s="908"/>
    </row>
    <row r="77" spans="1:10" ht="15.75" thickBot="1">
      <c r="A77" s="1186"/>
      <c r="B77" s="1187"/>
      <c r="C77" s="1187"/>
      <c r="D77" s="1187"/>
      <c r="E77" s="1188"/>
      <c r="F77" s="179"/>
      <c r="G77" s="181"/>
      <c r="H77" s="1080">
        <v>0.8</v>
      </c>
      <c r="I77" s="1077">
        <f>H77*H76*H75*F75</f>
        <v>11.280000000000003</v>
      </c>
      <c r="J77" s="908" t="s">
        <v>141</v>
      </c>
    </row>
    <row r="78" spans="1:10" ht="15.75" thickTop="1">
      <c r="A78" s="1186"/>
      <c r="B78" s="1187"/>
      <c r="C78" s="1187"/>
      <c r="D78" s="1187"/>
      <c r="E78" s="1188"/>
      <c r="F78" s="179"/>
      <c r="G78" s="181"/>
      <c r="H78" s="179"/>
      <c r="I78" s="1074"/>
      <c r="J78" s="908"/>
    </row>
    <row r="79" spans="1:10" ht="15" customHeight="1">
      <c r="A79" s="1592" t="s">
        <v>1308</v>
      </c>
      <c r="B79" s="1593"/>
      <c r="C79" s="1593"/>
      <c r="D79" s="1593"/>
      <c r="E79" s="1594"/>
      <c r="F79" s="179">
        <v>1</v>
      </c>
      <c r="G79" s="181"/>
      <c r="H79" s="179">
        <v>11.5</v>
      </c>
      <c r="I79" s="1074"/>
      <c r="J79" s="908"/>
    </row>
    <row r="80" spans="1:10">
      <c r="A80" s="1186"/>
      <c r="B80" s="1187"/>
      <c r="C80" s="1187"/>
      <c r="D80" s="1187"/>
      <c r="E80" s="1188"/>
      <c r="F80" s="179"/>
      <c r="G80" s="181"/>
      <c r="H80" s="179">
        <v>1.5</v>
      </c>
      <c r="I80" s="1074"/>
      <c r="J80" s="908"/>
    </row>
    <row r="81" spans="1:10" ht="15.75" thickBot="1">
      <c r="A81" s="1186"/>
      <c r="B81" s="1187"/>
      <c r="C81" s="1187"/>
      <c r="D81" s="1187"/>
      <c r="E81" s="1188"/>
      <c r="F81" s="179"/>
      <c r="G81" s="181"/>
      <c r="H81" s="1080">
        <v>0.8</v>
      </c>
      <c r="I81" s="1077">
        <f>H81*H80*H79*F79</f>
        <v>13.800000000000002</v>
      </c>
      <c r="J81" s="908" t="s">
        <v>141</v>
      </c>
    </row>
    <row r="82" spans="1:10" ht="15.75" thickTop="1">
      <c r="A82" s="1186"/>
      <c r="B82" s="1187"/>
      <c r="C82" s="1187"/>
      <c r="D82" s="1187"/>
      <c r="E82" s="1188"/>
      <c r="F82" s="179"/>
      <c r="G82" s="181"/>
      <c r="H82" s="179"/>
      <c r="I82" s="1074"/>
      <c r="J82" s="908"/>
    </row>
    <row r="83" spans="1:10" ht="15" customHeight="1">
      <c r="A83" s="1718" t="s">
        <v>1309</v>
      </c>
      <c r="B83" s="1719"/>
      <c r="C83" s="1719"/>
      <c r="D83" s="1719"/>
      <c r="E83" s="1720"/>
      <c r="F83" s="179">
        <v>1</v>
      </c>
      <c r="G83" s="181"/>
      <c r="H83" s="179">
        <v>3.8</v>
      </c>
      <c r="I83" s="1074"/>
      <c r="J83" s="908"/>
    </row>
    <row r="84" spans="1:10" ht="15.75" thickBot="1">
      <c r="A84" s="1186"/>
      <c r="B84" s="1187"/>
      <c r="C84" s="1187"/>
      <c r="D84" s="1187"/>
      <c r="E84" s="1188"/>
      <c r="F84" s="179"/>
      <c r="G84" s="181"/>
      <c r="H84" s="1080">
        <v>3</v>
      </c>
      <c r="I84" s="1077">
        <f>H84*H83</f>
        <v>11.399999999999999</v>
      </c>
      <c r="J84" s="908" t="s">
        <v>842</v>
      </c>
    </row>
    <row r="85" spans="1:10" ht="15.75" thickTop="1">
      <c r="A85" s="1186"/>
      <c r="B85" s="1187"/>
      <c r="C85" s="1187"/>
      <c r="D85" s="1187"/>
      <c r="E85" s="1188"/>
      <c r="F85" s="179"/>
      <c r="G85" s="181"/>
      <c r="H85" s="179"/>
      <c r="I85" s="1074"/>
      <c r="J85" s="908"/>
    </row>
    <row r="86" spans="1:10" ht="15" customHeight="1">
      <c r="A86" s="1592" t="s">
        <v>1310</v>
      </c>
      <c r="B86" s="1593"/>
      <c r="C86" s="1593"/>
      <c r="D86" s="1593"/>
      <c r="E86" s="1594"/>
      <c r="F86" s="179"/>
      <c r="G86" s="181"/>
      <c r="H86" s="179"/>
      <c r="I86" s="1074"/>
      <c r="J86" s="908"/>
    </row>
    <row r="87" spans="1:10" ht="15" customHeight="1">
      <c r="A87" s="1592" t="s">
        <v>1311</v>
      </c>
      <c r="B87" s="1593"/>
      <c r="C87" s="1593"/>
      <c r="D87" s="1593"/>
      <c r="E87" s="1594"/>
      <c r="F87" s="179"/>
      <c r="G87" s="181"/>
      <c r="H87" s="179"/>
      <c r="I87" s="1074"/>
      <c r="J87" s="908"/>
    </row>
    <row r="88" spans="1:10" s="1133" customFormat="1" ht="15" customHeight="1">
      <c r="A88" s="1592" t="s">
        <v>1312</v>
      </c>
      <c r="B88" s="1593"/>
      <c r="C88" s="1593"/>
      <c r="D88" s="1593"/>
      <c r="E88" s="1594"/>
      <c r="F88" s="179">
        <v>1</v>
      </c>
      <c r="G88" s="181"/>
      <c r="H88" s="179">
        <v>3.8</v>
      </c>
      <c r="I88" s="1072"/>
      <c r="J88" s="908"/>
    </row>
    <row r="89" spans="1:10">
      <c r="A89" s="1186"/>
      <c r="B89" s="1187"/>
      <c r="C89" s="1187"/>
      <c r="D89" s="1187"/>
      <c r="E89" s="1188"/>
      <c r="F89" s="179"/>
      <c r="G89" s="181"/>
      <c r="H89" s="179">
        <v>2</v>
      </c>
      <c r="I89" s="1074"/>
      <c r="J89" s="908"/>
    </row>
    <row r="90" spans="1:10" ht="15.75" thickBot="1">
      <c r="A90" s="1186"/>
      <c r="B90" s="1187"/>
      <c r="C90" s="1187"/>
      <c r="D90" s="1187"/>
      <c r="E90" s="1188"/>
      <c r="F90" s="179"/>
      <c r="G90" s="181"/>
      <c r="H90" s="1080">
        <v>0.3</v>
      </c>
      <c r="I90" s="1077">
        <f>H90*H89*H88*F88</f>
        <v>2.2799999999999998</v>
      </c>
      <c r="J90" s="908" t="s">
        <v>141</v>
      </c>
    </row>
    <row r="91" spans="1:10" ht="15.75" thickTop="1">
      <c r="A91" s="1186"/>
      <c r="B91" s="1187"/>
      <c r="C91" s="1187"/>
      <c r="D91" s="1187"/>
      <c r="E91" s="1188"/>
      <c r="F91" s="179"/>
      <c r="G91" s="181"/>
      <c r="H91" s="179"/>
      <c r="I91" s="1074"/>
      <c r="J91" s="908"/>
    </row>
    <row r="92" spans="1:10" s="1133" customFormat="1" ht="15" customHeight="1">
      <c r="A92" s="1592" t="s">
        <v>1313</v>
      </c>
      <c r="B92" s="1593"/>
      <c r="C92" s="1593"/>
      <c r="D92" s="1593"/>
      <c r="E92" s="1594"/>
      <c r="F92" s="179">
        <v>2</v>
      </c>
      <c r="G92" s="181"/>
      <c r="H92" s="179">
        <v>10.45</v>
      </c>
      <c r="I92" s="1072"/>
      <c r="J92" s="908"/>
    </row>
    <row r="93" spans="1:10">
      <c r="A93" s="1186"/>
      <c r="B93" s="1187"/>
      <c r="C93" s="1187"/>
      <c r="D93" s="1187"/>
      <c r="E93" s="1188"/>
      <c r="F93" s="179"/>
      <c r="G93" s="181"/>
      <c r="H93" s="179">
        <v>0.9</v>
      </c>
      <c r="I93" s="1074"/>
      <c r="J93" s="908"/>
    </row>
    <row r="94" spans="1:10">
      <c r="A94" s="1186"/>
      <c r="B94" s="1187"/>
      <c r="C94" s="1187"/>
      <c r="D94" s="1187"/>
      <c r="E94" s="1188"/>
      <c r="F94" s="179"/>
      <c r="G94" s="181"/>
      <c r="H94" s="1080">
        <v>0.2</v>
      </c>
      <c r="I94" s="1191">
        <f>H94*H93*H92*F92</f>
        <v>3.762</v>
      </c>
      <c r="J94" s="908" t="s">
        <v>141</v>
      </c>
    </row>
    <row r="95" spans="1:10">
      <c r="A95" s="1214"/>
      <c r="B95" s="1215"/>
      <c r="C95" s="1215"/>
      <c r="D95" s="1215"/>
      <c r="E95" s="1216"/>
      <c r="F95" s="179"/>
      <c r="G95" s="181"/>
      <c r="H95" s="179"/>
      <c r="I95" s="1074"/>
      <c r="J95" s="908"/>
    </row>
    <row r="96" spans="1:10">
      <c r="A96" s="1214"/>
      <c r="B96" s="1215"/>
      <c r="C96" s="1215"/>
      <c r="D96" s="1215"/>
      <c r="E96" s="1216"/>
      <c r="F96" s="179">
        <v>1</v>
      </c>
      <c r="G96" s="181"/>
      <c r="H96" s="179">
        <v>10.45</v>
      </c>
      <c r="I96" s="1074"/>
      <c r="J96" s="908"/>
    </row>
    <row r="97" spans="1:10">
      <c r="A97" s="1214"/>
      <c r="B97" s="1215"/>
      <c r="C97" s="1215"/>
      <c r="D97" s="1215"/>
      <c r="E97" s="1216"/>
      <c r="F97" s="179"/>
      <c r="G97" s="181"/>
      <c r="H97" s="179">
        <v>0.8</v>
      </c>
      <c r="I97" s="1074"/>
      <c r="J97" s="908"/>
    </row>
    <row r="98" spans="1:10">
      <c r="A98" s="1214"/>
      <c r="B98" s="1215"/>
      <c r="C98" s="1215"/>
      <c r="D98" s="1215"/>
      <c r="E98" s="1216"/>
      <c r="F98" s="179"/>
      <c r="G98" s="181"/>
      <c r="H98" s="1080">
        <v>0.5</v>
      </c>
      <c r="I98" s="1191">
        <f>H98*H97*H96*F96</f>
        <v>4.18</v>
      </c>
      <c r="J98" s="908" t="s">
        <v>141</v>
      </c>
    </row>
    <row r="99" spans="1:10" ht="15.75" thickBot="1">
      <c r="A99" s="1214"/>
      <c r="B99" s="1228" t="s">
        <v>861</v>
      </c>
      <c r="C99" s="1215"/>
      <c r="D99" s="1215"/>
      <c r="E99" s="1216"/>
      <c r="F99" s="179"/>
      <c r="G99" s="181"/>
      <c r="H99" s="179"/>
      <c r="I99" s="1192">
        <f>I98+I94</f>
        <v>7.9420000000000002</v>
      </c>
      <c r="J99" s="908" t="s">
        <v>141</v>
      </c>
    </row>
    <row r="100" spans="1:10" ht="15.75" thickTop="1">
      <c r="A100" s="1186"/>
      <c r="B100" s="1187"/>
      <c r="C100" s="1187"/>
      <c r="D100" s="1187"/>
      <c r="E100" s="1188"/>
      <c r="F100" s="179"/>
      <c r="G100" s="181"/>
      <c r="H100" s="179"/>
      <c r="I100" s="1074"/>
      <c r="J100" s="908"/>
    </row>
    <row r="101" spans="1:10" s="1133" customFormat="1" ht="15" customHeight="1">
      <c r="A101" s="1718" t="s">
        <v>1314</v>
      </c>
      <c r="B101" s="1719"/>
      <c r="C101" s="1719"/>
      <c r="D101" s="1719"/>
      <c r="E101" s="1720"/>
      <c r="F101" s="179">
        <v>1</v>
      </c>
      <c r="G101" s="181"/>
      <c r="H101" s="179">
        <v>10.45</v>
      </c>
      <c r="I101" s="1072"/>
      <c r="J101" s="908"/>
    </row>
    <row r="102" spans="1:10" s="1133" customFormat="1" ht="15.75" thickBot="1">
      <c r="A102" s="1193"/>
      <c r="B102" s="1194"/>
      <c r="C102" s="1194"/>
      <c r="D102" s="1194"/>
      <c r="E102" s="1195"/>
      <c r="F102" s="179"/>
      <c r="G102" s="181"/>
      <c r="H102" s="1080">
        <v>0.5</v>
      </c>
      <c r="I102" s="1079">
        <f>H102*H101*F101</f>
        <v>5.2249999999999996</v>
      </c>
      <c r="J102" s="908" t="s">
        <v>842</v>
      </c>
    </row>
    <row r="103" spans="1:10" s="1133" customFormat="1" ht="15.75" thickTop="1">
      <c r="A103" s="1193"/>
      <c r="B103" s="1194"/>
      <c r="C103" s="1194"/>
      <c r="D103" s="1194"/>
      <c r="E103" s="1195"/>
      <c r="F103" s="179"/>
      <c r="G103" s="181"/>
      <c r="H103" s="179"/>
      <c r="I103" s="1072"/>
      <c r="J103" s="908"/>
    </row>
    <row r="104" spans="1:10" s="1133" customFormat="1" ht="15" customHeight="1">
      <c r="A104" s="1718" t="s">
        <v>1315</v>
      </c>
      <c r="B104" s="1719"/>
      <c r="C104" s="1719"/>
      <c r="D104" s="1719"/>
      <c r="E104" s="1720"/>
      <c r="F104" s="179">
        <v>2</v>
      </c>
      <c r="G104" s="181"/>
      <c r="H104" s="179">
        <v>5.8</v>
      </c>
      <c r="I104" s="1072"/>
      <c r="J104" s="908"/>
    </row>
    <row r="105" spans="1:10" ht="15.75" thickBot="1">
      <c r="A105" s="1186"/>
      <c r="B105" s="1187"/>
      <c r="C105" s="1187"/>
      <c r="D105" s="1187"/>
      <c r="E105" s="1188"/>
      <c r="F105" s="179"/>
      <c r="G105" s="181"/>
      <c r="H105" s="1080">
        <v>0.6</v>
      </c>
      <c r="I105" s="1217">
        <f>H105*H104*F104</f>
        <v>6.96</v>
      </c>
      <c r="J105" s="908" t="s">
        <v>842</v>
      </c>
    </row>
    <row r="106" spans="1:10" ht="15.75" thickTop="1">
      <c r="A106" s="1193"/>
      <c r="B106" s="1194"/>
      <c r="C106" s="1194"/>
      <c r="D106" s="1194"/>
      <c r="E106" s="1195"/>
      <c r="F106" s="179"/>
      <c r="G106" s="181"/>
      <c r="H106" s="179"/>
      <c r="I106" s="1074"/>
      <c r="J106" s="908"/>
    </row>
    <row r="107" spans="1:10" s="1133" customFormat="1" ht="15" customHeight="1">
      <c r="A107" s="1718" t="s">
        <v>1316</v>
      </c>
      <c r="B107" s="1719"/>
      <c r="C107" s="1719"/>
      <c r="D107" s="1719"/>
      <c r="E107" s="1720"/>
      <c r="F107" s="179"/>
      <c r="G107" s="181"/>
      <c r="H107" s="179"/>
      <c r="I107" s="1072"/>
      <c r="J107" s="908"/>
    </row>
    <row r="108" spans="1:10" s="1133" customFormat="1" ht="15" customHeight="1">
      <c r="A108" s="1592" t="s">
        <v>1312</v>
      </c>
      <c r="B108" s="1593"/>
      <c r="C108" s="1593"/>
      <c r="D108" s="1593"/>
      <c r="E108" s="1594"/>
      <c r="F108" s="179">
        <v>2</v>
      </c>
      <c r="G108" s="181"/>
      <c r="H108" s="179">
        <v>5.8</v>
      </c>
      <c r="I108" s="1072"/>
      <c r="J108" s="908"/>
    </row>
    <row r="109" spans="1:10" s="1133" customFormat="1" ht="15.75" thickBot="1">
      <c r="A109" s="1196"/>
      <c r="B109" s="1197"/>
      <c r="C109" s="1197"/>
      <c r="D109" s="1197"/>
      <c r="E109" s="1198"/>
      <c r="F109" s="179"/>
      <c r="G109" s="181"/>
      <c r="H109" s="1080">
        <v>0.3</v>
      </c>
      <c r="I109" s="1079">
        <f>H109*H108*F108</f>
        <v>3.48</v>
      </c>
      <c r="J109" s="908" t="s">
        <v>842</v>
      </c>
    </row>
    <row r="110" spans="1:10" ht="15.75" thickTop="1">
      <c r="A110" s="1193"/>
      <c r="B110" s="1194"/>
      <c r="C110" s="1194"/>
      <c r="D110" s="1194"/>
      <c r="E110" s="1195"/>
      <c r="F110" s="179"/>
      <c r="G110" s="181"/>
      <c r="H110" s="179"/>
      <c r="I110" s="1074"/>
      <c r="J110" s="908"/>
    </row>
    <row r="111" spans="1:10">
      <c r="A111" s="1193"/>
      <c r="B111" s="1194"/>
      <c r="C111" s="1194"/>
      <c r="D111" s="1194"/>
      <c r="E111" s="1195"/>
      <c r="F111" s="179"/>
      <c r="G111" s="181"/>
      <c r="H111" s="179"/>
      <c r="I111" s="1074"/>
      <c r="J111" s="908"/>
    </row>
    <row r="112" spans="1:10" s="1133" customFormat="1" ht="15" customHeight="1">
      <c r="A112" s="1592" t="s">
        <v>1317</v>
      </c>
      <c r="B112" s="1593"/>
      <c r="C112" s="1593"/>
      <c r="D112" s="1593"/>
      <c r="E112" s="1594"/>
      <c r="F112" s="179">
        <v>2</v>
      </c>
      <c r="G112" s="181"/>
      <c r="H112" s="179">
        <v>10.45</v>
      </c>
      <c r="I112" s="1072"/>
      <c r="J112" s="908"/>
    </row>
    <row r="113" spans="1:10">
      <c r="A113" s="1193"/>
      <c r="B113" s="1194"/>
      <c r="C113" s="1194"/>
      <c r="D113" s="1194"/>
      <c r="E113" s="1195"/>
      <c r="F113" s="179"/>
      <c r="G113" s="181"/>
      <c r="H113" s="1080">
        <v>0.9</v>
      </c>
      <c r="I113" s="1191">
        <f>H113*H112*F112</f>
        <v>18.809999999999999</v>
      </c>
      <c r="J113" s="908" t="s">
        <v>842</v>
      </c>
    </row>
    <row r="114" spans="1:10">
      <c r="A114" s="1214"/>
      <c r="B114" s="1215"/>
      <c r="C114" s="1215"/>
      <c r="D114" s="1215"/>
      <c r="E114" s="1216"/>
      <c r="F114" s="179"/>
      <c r="G114" s="181"/>
      <c r="H114" s="179"/>
      <c r="I114" s="1074"/>
      <c r="J114" s="908"/>
    </row>
    <row r="115" spans="1:10">
      <c r="A115" s="1214"/>
      <c r="B115" s="1215"/>
      <c r="C115" s="1215"/>
      <c r="D115" s="1215"/>
      <c r="E115" s="1216"/>
      <c r="F115" s="179">
        <v>1</v>
      </c>
      <c r="G115" s="181"/>
      <c r="H115" s="179">
        <v>10.45</v>
      </c>
      <c r="I115" s="1074"/>
      <c r="J115" s="908"/>
    </row>
    <row r="116" spans="1:10">
      <c r="A116" s="1214"/>
      <c r="B116" s="1215"/>
      <c r="C116" s="1215"/>
      <c r="D116" s="1215"/>
      <c r="E116" s="1216"/>
      <c r="F116" s="179"/>
      <c r="G116" s="181"/>
      <c r="H116" s="1080">
        <v>0.5</v>
      </c>
      <c r="I116" s="1191">
        <f>H116*H115*F115</f>
        <v>5.2249999999999996</v>
      </c>
      <c r="J116" s="908" t="s">
        <v>842</v>
      </c>
    </row>
    <row r="117" spans="1:10">
      <c r="A117" s="1214"/>
      <c r="B117" s="1215"/>
      <c r="C117" s="1215"/>
      <c r="D117" s="1215"/>
      <c r="E117" s="1216"/>
      <c r="F117" s="179"/>
      <c r="G117" s="181"/>
      <c r="H117" s="179"/>
      <c r="I117" s="1074"/>
      <c r="J117" s="908"/>
    </row>
    <row r="118" spans="1:10">
      <c r="A118" s="1200"/>
      <c r="B118" s="1201"/>
      <c r="C118" s="1201"/>
      <c r="D118" s="1201"/>
      <c r="E118" s="1202"/>
      <c r="F118" s="179">
        <v>4</v>
      </c>
      <c r="G118" s="181"/>
      <c r="H118" s="179">
        <v>10.45</v>
      </c>
      <c r="I118" s="1074"/>
      <c r="J118" s="908"/>
    </row>
    <row r="119" spans="1:10">
      <c r="A119" s="1200"/>
      <c r="B119" s="1201"/>
      <c r="C119" s="1201"/>
      <c r="D119" s="1201"/>
      <c r="E119" s="1202"/>
      <c r="F119" s="179"/>
      <c r="G119" s="181"/>
      <c r="H119" s="1080">
        <v>0.15</v>
      </c>
      <c r="I119" s="1191">
        <f>H119*H118*F118</f>
        <v>6.27</v>
      </c>
      <c r="J119" s="908" t="s">
        <v>842</v>
      </c>
    </row>
    <row r="120" spans="1:10" ht="15.75" thickBot="1">
      <c r="A120" s="1214"/>
      <c r="B120" s="1215"/>
      <c r="C120" s="1215" t="s">
        <v>861</v>
      </c>
      <c r="D120" s="1215"/>
      <c r="E120" s="1216"/>
      <c r="F120" s="179"/>
      <c r="G120" s="181"/>
      <c r="H120" s="179"/>
      <c r="I120" s="1192">
        <f>I119+I116+I113</f>
        <v>30.305</v>
      </c>
      <c r="J120" s="908" t="s">
        <v>842</v>
      </c>
    </row>
    <row r="121" spans="1:10" s="1133" customFormat="1" ht="15.75" customHeight="1" thickTop="1">
      <c r="A121" s="1592" t="s">
        <v>1318</v>
      </c>
      <c r="B121" s="1593"/>
      <c r="C121" s="1593"/>
      <c r="D121" s="1593"/>
      <c r="E121" s="1594"/>
      <c r="F121" s="179"/>
      <c r="G121" s="181"/>
      <c r="H121" s="179"/>
      <c r="I121" s="1072"/>
      <c r="J121" s="908"/>
    </row>
    <row r="122" spans="1:10">
      <c r="A122" s="1200"/>
      <c r="B122" s="1201"/>
      <c r="C122" s="1201"/>
      <c r="D122" s="1201"/>
      <c r="E122" s="1202"/>
      <c r="F122" s="179"/>
      <c r="G122" s="181"/>
      <c r="H122" s="179"/>
      <c r="I122" s="1074"/>
      <c r="J122" s="908"/>
    </row>
    <row r="123" spans="1:10" s="1133" customFormat="1" ht="15.75" customHeight="1" thickBot="1">
      <c r="A123" s="1592" t="s">
        <v>1319</v>
      </c>
      <c r="B123" s="1593"/>
      <c r="C123" s="1593"/>
      <c r="D123" s="1593"/>
      <c r="E123" s="1594"/>
      <c r="F123" s="179">
        <v>1</v>
      </c>
      <c r="G123" s="181"/>
      <c r="H123" s="1080">
        <v>29</v>
      </c>
      <c r="I123" s="1079">
        <f>H123</f>
        <v>29</v>
      </c>
      <c r="J123" s="908" t="s">
        <v>103</v>
      </c>
    </row>
    <row r="124" spans="1:10" s="1133" customFormat="1" ht="16.5" customHeight="1" thickTop="1" thickBot="1">
      <c r="A124" s="1592" t="s">
        <v>1320</v>
      </c>
      <c r="B124" s="1593"/>
      <c r="C124" s="1593"/>
      <c r="D124" s="1593"/>
      <c r="E124" s="1594"/>
      <c r="F124" s="179">
        <v>1</v>
      </c>
      <c r="G124" s="181"/>
      <c r="H124" s="188">
        <v>307</v>
      </c>
      <c r="I124" s="1088">
        <f>H124</f>
        <v>307</v>
      </c>
      <c r="J124" s="908" t="s">
        <v>103</v>
      </c>
    </row>
    <row r="125" spans="1:10" s="1133" customFormat="1" ht="16.5" customHeight="1" thickTop="1" thickBot="1">
      <c r="A125" s="1592" t="s">
        <v>1321</v>
      </c>
      <c r="B125" s="1593"/>
      <c r="C125" s="1593"/>
      <c r="D125" s="1593"/>
      <c r="E125" s="1594"/>
      <c r="F125" s="179">
        <v>1</v>
      </c>
      <c r="G125" s="181"/>
      <c r="H125" s="188">
        <v>167</v>
      </c>
      <c r="I125" s="1088">
        <f>H125</f>
        <v>167</v>
      </c>
      <c r="J125" s="908" t="s">
        <v>103</v>
      </c>
    </row>
    <row r="126" spans="1:10" ht="15.75" thickTop="1">
      <c r="A126" s="1200"/>
      <c r="B126" s="1201"/>
      <c r="C126" s="1201"/>
      <c r="D126" s="1201"/>
      <c r="E126" s="1202"/>
      <c r="F126" s="179"/>
      <c r="G126" s="181"/>
      <c r="H126" s="179"/>
      <c r="I126" s="1074"/>
      <c r="J126" s="908"/>
    </row>
    <row r="127" spans="1:10" s="1133" customFormat="1" ht="15" customHeight="1">
      <c r="A127" s="1592" t="s">
        <v>1322</v>
      </c>
      <c r="B127" s="1593"/>
      <c r="C127" s="1593"/>
      <c r="D127" s="1593"/>
      <c r="E127" s="1594"/>
      <c r="F127" s="179"/>
      <c r="G127" s="181"/>
      <c r="H127" s="179"/>
      <c r="I127" s="1072"/>
      <c r="J127" s="908"/>
    </row>
    <row r="128" spans="1:10">
      <c r="A128" s="1200"/>
      <c r="B128" s="1201"/>
      <c r="C128" s="1201"/>
      <c r="D128" s="1201"/>
      <c r="E128" s="1202"/>
      <c r="F128" s="179"/>
      <c r="G128" s="181"/>
      <c r="H128" s="179"/>
      <c r="I128" s="1074"/>
      <c r="J128" s="908"/>
    </row>
    <row r="129" spans="1:10" s="1133" customFormat="1" ht="15" customHeight="1">
      <c r="A129" s="1718" t="s">
        <v>1323</v>
      </c>
      <c r="B129" s="1719"/>
      <c r="C129" s="1719"/>
      <c r="D129" s="1719"/>
      <c r="E129" s="1720"/>
      <c r="F129" s="179">
        <v>1</v>
      </c>
      <c r="G129" s="181"/>
      <c r="H129" s="179">
        <v>4</v>
      </c>
      <c r="I129" s="1072"/>
      <c r="J129" s="908"/>
    </row>
    <row r="130" spans="1:10" s="1133" customFormat="1" ht="15.75" thickBot="1">
      <c r="A130" s="1214"/>
      <c r="B130" s="1215"/>
      <c r="C130" s="1215"/>
      <c r="D130" s="1215"/>
      <c r="E130" s="1216"/>
      <c r="F130" s="179"/>
      <c r="G130" s="181"/>
      <c r="H130" s="1080">
        <v>4</v>
      </c>
      <c r="I130" s="1079">
        <f>H130*H129*F129</f>
        <v>16</v>
      </c>
      <c r="J130" s="908" t="s">
        <v>842</v>
      </c>
    </row>
    <row r="131" spans="1:10" ht="15.75" thickTop="1">
      <c r="A131" s="1200"/>
      <c r="B131" s="1201"/>
      <c r="C131" s="1201"/>
      <c r="D131" s="1201"/>
      <c r="E131" s="1202"/>
      <c r="F131" s="179"/>
      <c r="G131" s="181"/>
      <c r="H131" s="179"/>
      <c r="I131" s="1074"/>
      <c r="J131" s="908"/>
    </row>
    <row r="132" spans="1:10" s="1133" customFormat="1" ht="15" customHeight="1">
      <c r="A132" s="1267" t="s">
        <v>1324</v>
      </c>
      <c r="B132" s="1229"/>
      <c r="C132" s="1229"/>
      <c r="D132" s="1229"/>
      <c r="E132" s="1230"/>
      <c r="F132" s="179"/>
      <c r="G132" s="181"/>
      <c r="H132" s="179"/>
      <c r="I132" s="1072"/>
      <c r="J132" s="908"/>
    </row>
    <row r="133" spans="1:10" s="1133" customFormat="1" ht="15.75" customHeight="1" thickBot="1">
      <c r="A133" s="1267" t="s">
        <v>1325</v>
      </c>
      <c r="B133" s="1229"/>
      <c r="C133" s="1229"/>
      <c r="D133" s="1229"/>
      <c r="E133" s="1230"/>
      <c r="F133" s="179">
        <v>1</v>
      </c>
      <c r="G133" s="181"/>
      <c r="H133" s="1080">
        <v>2</v>
      </c>
      <c r="I133" s="1079">
        <v>2</v>
      </c>
      <c r="J133" s="908" t="s">
        <v>842</v>
      </c>
    </row>
    <row r="134" spans="1:10" s="1133" customFormat="1" ht="15.75" customHeight="1" thickTop="1">
      <c r="A134" s="1267"/>
      <c r="B134" s="1229"/>
      <c r="C134" s="1229"/>
      <c r="D134" s="1229"/>
      <c r="E134" s="1230"/>
      <c r="F134" s="179"/>
      <c r="G134" s="181"/>
      <c r="H134" s="179"/>
      <c r="I134" s="1072"/>
      <c r="J134" s="908"/>
    </row>
    <row r="135" spans="1:10" ht="15.75" thickBot="1">
      <c r="A135" s="911"/>
      <c r="B135" s="198"/>
      <c r="C135" s="198"/>
      <c r="D135" s="198"/>
      <c r="E135" s="181"/>
      <c r="F135" s="179"/>
      <c r="G135" s="181"/>
      <c r="H135" s="179"/>
      <c r="I135" s="1079"/>
      <c r="J135" s="908"/>
    </row>
    <row r="136" spans="1:10" ht="15.75" thickTop="1">
      <c r="A136" s="914"/>
      <c r="B136" s="215"/>
      <c r="C136" s="215" t="s">
        <v>10</v>
      </c>
      <c r="D136" s="215" t="s">
        <v>18</v>
      </c>
      <c r="E136" s="217"/>
      <c r="F136" s="216" t="s">
        <v>19</v>
      </c>
      <c r="G136" s="217"/>
      <c r="H136" s="217"/>
      <c r="I136" s="217"/>
      <c r="J136" s="915"/>
    </row>
    <row r="137" spans="1:10">
      <c r="A137" s="916" t="s">
        <v>15</v>
      </c>
      <c r="B137" s="188"/>
      <c r="C137" s="188"/>
      <c r="D137" s="194"/>
      <c r="E137" s="191"/>
      <c r="F137" s="191"/>
      <c r="G137" s="191"/>
      <c r="H137" s="191"/>
      <c r="I137" s="191"/>
      <c r="J137" s="917"/>
    </row>
    <row r="138" spans="1:10">
      <c r="A138" s="916" t="s">
        <v>16</v>
      </c>
      <c r="B138" s="188"/>
      <c r="C138" s="188"/>
      <c r="D138" s="194"/>
      <c r="E138" s="191"/>
      <c r="F138" s="191"/>
      <c r="G138" s="191"/>
      <c r="H138" s="191"/>
      <c r="I138" s="191"/>
      <c r="J138" s="917"/>
    </row>
    <row r="139" spans="1:10" ht="15.75" thickBot="1">
      <c r="A139" s="918" t="s">
        <v>553</v>
      </c>
      <c r="B139" s="919"/>
      <c r="C139" s="919"/>
      <c r="D139" s="920"/>
      <c r="E139" s="921"/>
      <c r="F139" s="921"/>
      <c r="G139" s="921"/>
      <c r="H139" s="921"/>
      <c r="I139" s="921"/>
      <c r="J139" s="922"/>
    </row>
    <row r="141" spans="1:10" ht="15.75" thickBot="1"/>
    <row r="142" spans="1:10">
      <c r="A142" s="1605" t="s">
        <v>0</v>
      </c>
      <c r="B142" s="1606"/>
      <c r="C142" s="1607" t="s">
        <v>4</v>
      </c>
      <c r="D142" s="1608"/>
      <c r="E142" s="1609"/>
      <c r="F142" s="897" t="s">
        <v>7</v>
      </c>
      <c r="G142" s="898"/>
      <c r="H142" s="899" t="s">
        <v>8</v>
      </c>
      <c r="I142" s="899" t="s">
        <v>61</v>
      </c>
      <c r="J142" s="900"/>
    </row>
    <row r="143" spans="1:10" ht="15.75">
      <c r="A143" s="901" t="s">
        <v>552</v>
      </c>
      <c r="B143" s="169"/>
      <c r="C143" s="1583"/>
      <c r="D143" s="1584"/>
      <c r="E143" s="1585"/>
      <c r="F143" s="1595">
        <v>20</v>
      </c>
      <c r="G143" s="1596"/>
      <c r="H143" s="1203"/>
      <c r="I143" s="479"/>
      <c r="J143" s="902" t="s">
        <v>767</v>
      </c>
    </row>
    <row r="144" spans="1:10">
      <c r="A144" s="903" t="s">
        <v>2</v>
      </c>
      <c r="B144" s="171"/>
      <c r="C144" s="167" t="s">
        <v>5</v>
      </c>
      <c r="D144" s="172"/>
      <c r="E144" s="166"/>
      <c r="F144" s="165" t="s">
        <v>9</v>
      </c>
      <c r="G144" s="172"/>
      <c r="H144" s="172"/>
      <c r="I144" s="172"/>
      <c r="J144" s="904"/>
    </row>
    <row r="145" spans="1:10">
      <c r="A145" s="905" t="s">
        <v>490</v>
      </c>
      <c r="B145" s="173"/>
      <c r="C145" s="174"/>
      <c r="D145" s="456">
        <v>2</v>
      </c>
      <c r="E145" s="175"/>
      <c r="F145" s="176" t="s">
        <v>1329</v>
      </c>
      <c r="G145" s="177"/>
      <c r="H145" s="177"/>
      <c r="I145" s="177"/>
      <c r="J145" s="906"/>
    </row>
    <row r="146" spans="1:10">
      <c r="A146" s="903" t="s">
        <v>491</v>
      </c>
      <c r="B146" s="282"/>
      <c r="C146" s="165" t="s">
        <v>6</v>
      </c>
      <c r="D146" s="1588" t="s">
        <v>1186</v>
      </c>
      <c r="E146" s="1589"/>
      <c r="F146" s="165" t="s">
        <v>10</v>
      </c>
      <c r="G146" s="172"/>
      <c r="H146" s="172"/>
      <c r="I146" s="172"/>
      <c r="J146" s="904"/>
    </row>
    <row r="147" spans="1:10">
      <c r="A147" s="905" t="s">
        <v>1288</v>
      </c>
      <c r="B147" s="173"/>
      <c r="C147" s="174"/>
      <c r="D147" s="177"/>
      <c r="E147" s="175"/>
      <c r="F147" s="178"/>
      <c r="G147" s="177"/>
      <c r="H147" s="177"/>
      <c r="I147" s="177"/>
      <c r="J147" s="906"/>
    </row>
    <row r="148" spans="1:10">
      <c r="A148" s="909" t="s">
        <v>11</v>
      </c>
      <c r="B148" s="183"/>
      <c r="C148" s="172"/>
      <c r="D148" s="172"/>
      <c r="E148" s="166"/>
      <c r="F148" s="184" t="s">
        <v>12</v>
      </c>
      <c r="G148" s="166"/>
      <c r="H148" s="184" t="s">
        <v>13</v>
      </c>
      <c r="I148" s="1071" t="s">
        <v>14</v>
      </c>
      <c r="J148" s="904" t="s">
        <v>1189</v>
      </c>
    </row>
    <row r="149" spans="1:10" ht="15" customHeight="1">
      <c r="A149" s="1592" t="s">
        <v>1327</v>
      </c>
      <c r="B149" s="1593"/>
      <c r="C149" s="1593"/>
      <c r="D149" s="1593"/>
      <c r="E149" s="1594"/>
      <c r="F149" s="179"/>
      <c r="G149" s="181"/>
      <c r="H149" s="179"/>
      <c r="I149" s="1074"/>
      <c r="J149" s="908"/>
    </row>
    <row r="150" spans="1:10" ht="15" customHeight="1">
      <c r="A150" s="1592" t="s">
        <v>1328</v>
      </c>
      <c r="B150" s="1593"/>
      <c r="C150" s="1593"/>
      <c r="D150" s="1593"/>
      <c r="E150" s="1594"/>
      <c r="F150" s="179">
        <v>1</v>
      </c>
      <c r="G150" s="181"/>
      <c r="H150" s="179">
        <v>8.6199999999999992</v>
      </c>
      <c r="I150" s="1074"/>
      <c r="J150" s="908"/>
    </row>
    <row r="151" spans="1:10">
      <c r="A151" s="1204"/>
      <c r="B151" s="1205"/>
      <c r="C151" s="1205"/>
      <c r="D151" s="1205"/>
      <c r="E151" s="1206"/>
      <c r="F151" s="179"/>
      <c r="G151" s="181"/>
      <c r="H151" s="179">
        <v>4.43</v>
      </c>
      <c r="I151" s="1074"/>
      <c r="J151" s="908"/>
    </row>
    <row r="152" spans="1:10" ht="15.75" thickBot="1">
      <c r="A152" s="1204"/>
      <c r="B152" s="1205"/>
      <c r="C152" s="1205"/>
      <c r="D152" s="1205"/>
      <c r="E152" s="1206"/>
      <c r="F152" s="179"/>
      <c r="G152" s="181"/>
      <c r="H152" s="1080">
        <v>3</v>
      </c>
      <c r="I152" s="1077">
        <f>H152*H151*H150*F150</f>
        <v>114.55979999999998</v>
      </c>
      <c r="J152" s="908" t="s">
        <v>141</v>
      </c>
    </row>
    <row r="153" spans="1:10" ht="15.75" thickTop="1">
      <c r="A153" s="1204"/>
      <c r="B153" s="1205"/>
      <c r="C153" s="1205"/>
      <c r="D153" s="1205"/>
      <c r="E153" s="1206"/>
      <c r="F153" s="179"/>
      <c r="G153" s="181"/>
      <c r="H153" s="179"/>
      <c r="I153" s="1074"/>
      <c r="J153" s="908"/>
    </row>
    <row r="154" spans="1:10" ht="15" customHeight="1">
      <c r="A154" s="1718" t="s">
        <v>1330</v>
      </c>
      <c r="B154" s="1719"/>
      <c r="C154" s="1719"/>
      <c r="D154" s="1719"/>
      <c r="E154" s="1720"/>
      <c r="F154" s="179">
        <v>2</v>
      </c>
      <c r="G154" s="181"/>
      <c r="H154" s="179">
        <v>13.05</v>
      </c>
      <c r="I154" s="1074"/>
      <c r="J154" s="908"/>
    </row>
    <row r="155" spans="1:10">
      <c r="A155" s="1204"/>
      <c r="B155" s="1205"/>
      <c r="C155" s="1205"/>
      <c r="D155" s="1205"/>
      <c r="E155" s="1206"/>
      <c r="F155" s="179"/>
      <c r="G155" s="181"/>
      <c r="H155" s="179">
        <v>3</v>
      </c>
      <c r="I155" s="1074"/>
      <c r="J155" s="908"/>
    </row>
    <row r="156" spans="1:10" ht="15.75" thickBot="1">
      <c r="A156" s="1204"/>
      <c r="B156" s="1205"/>
      <c r="C156" s="1205"/>
      <c r="D156" s="1205"/>
      <c r="E156" s="1206"/>
      <c r="F156" s="179"/>
      <c r="G156" s="181"/>
      <c r="H156" s="1080">
        <v>1</v>
      </c>
      <c r="I156" s="1077">
        <f>H156*H155*H154*F154</f>
        <v>78.300000000000011</v>
      </c>
      <c r="J156" s="908" t="s">
        <v>141</v>
      </c>
    </row>
    <row r="157" spans="1:10" ht="15.75" thickTop="1">
      <c r="A157" s="1204"/>
      <c r="B157" s="1205"/>
      <c r="C157" s="1205"/>
      <c r="D157" s="1205"/>
      <c r="E157" s="1206"/>
      <c r="F157" s="179"/>
      <c r="G157" s="181"/>
      <c r="H157" s="179"/>
      <c r="I157" s="1074"/>
      <c r="J157" s="908"/>
    </row>
    <row r="158" spans="1:10">
      <c r="A158" s="1204"/>
      <c r="B158" s="1205"/>
      <c r="C158" s="1205"/>
      <c r="D158" s="1205"/>
      <c r="E158" s="1206"/>
      <c r="F158" s="179"/>
      <c r="G158" s="181"/>
      <c r="H158" s="179"/>
      <c r="I158" s="1074"/>
      <c r="J158" s="908"/>
    </row>
    <row r="159" spans="1:10" ht="15" customHeight="1">
      <c r="A159" s="1718" t="s">
        <v>1331</v>
      </c>
      <c r="B159" s="1719"/>
      <c r="C159" s="1719"/>
      <c r="D159" s="1719"/>
      <c r="E159" s="1720"/>
      <c r="F159" s="179">
        <v>1</v>
      </c>
      <c r="G159" s="181"/>
      <c r="H159" s="179">
        <v>8.6199999999999992</v>
      </c>
      <c r="I159" s="1074"/>
      <c r="J159" s="908"/>
    </row>
    <row r="160" spans="1:10">
      <c r="A160" s="1204"/>
      <c r="B160" s="1205"/>
      <c r="C160" s="1205"/>
      <c r="D160" s="1205"/>
      <c r="E160" s="1206"/>
      <c r="F160" s="179"/>
      <c r="G160" s="181"/>
      <c r="H160" s="179">
        <v>4.43</v>
      </c>
      <c r="I160" s="1074"/>
      <c r="J160" s="908"/>
    </row>
    <row r="161" spans="1:10" ht="15.75" thickBot="1">
      <c r="A161" s="1204"/>
      <c r="B161" s="1205"/>
      <c r="C161" s="1205"/>
      <c r="D161" s="1205"/>
      <c r="E161" s="1206"/>
      <c r="F161" s="179"/>
      <c r="G161" s="181"/>
      <c r="H161" s="1080">
        <v>3</v>
      </c>
      <c r="I161" s="1077">
        <f>H161*H160*H159*F159</f>
        <v>114.55979999999998</v>
      </c>
      <c r="J161" s="908" t="s">
        <v>141</v>
      </c>
    </row>
    <row r="162" spans="1:10" ht="15.75" thickTop="1">
      <c r="A162" s="1204"/>
      <c r="B162" s="1205"/>
      <c r="C162" s="1205"/>
      <c r="D162" s="1205"/>
      <c r="E162" s="1206"/>
      <c r="F162" s="179"/>
      <c r="G162" s="181"/>
      <c r="H162" s="179"/>
      <c r="I162" s="1074"/>
      <c r="J162" s="908"/>
    </row>
    <row r="163" spans="1:10" ht="15" customHeight="1">
      <c r="A163" s="1592" t="s">
        <v>1332</v>
      </c>
      <c r="B163" s="1593"/>
      <c r="C163" s="1593"/>
      <c r="D163" s="1593"/>
      <c r="E163" s="1594"/>
      <c r="F163" s="179"/>
      <c r="G163" s="181"/>
      <c r="H163" s="179"/>
      <c r="I163" s="1074"/>
      <c r="J163" s="908"/>
    </row>
    <row r="164" spans="1:10" ht="15" customHeight="1">
      <c r="A164" s="1592" t="s">
        <v>1333</v>
      </c>
      <c r="B164" s="1593"/>
      <c r="C164" s="1593"/>
      <c r="D164" s="1593"/>
      <c r="E164" s="1594"/>
      <c r="F164" s="179"/>
      <c r="G164" s="181"/>
      <c r="H164" s="179"/>
      <c r="I164" s="1074"/>
      <c r="J164" s="908"/>
    </row>
    <row r="165" spans="1:10" s="1133" customFormat="1" ht="15" customHeight="1">
      <c r="A165" s="1592" t="s">
        <v>1334</v>
      </c>
      <c r="B165" s="1593"/>
      <c r="C165" s="1593"/>
      <c r="D165" s="1593"/>
      <c r="E165" s="1594"/>
      <c r="F165" s="179">
        <v>1</v>
      </c>
      <c r="G165" s="181"/>
      <c r="H165" s="179">
        <v>6.72</v>
      </c>
      <c r="I165" s="1072"/>
      <c r="J165" s="908"/>
    </row>
    <row r="166" spans="1:10">
      <c r="A166" s="1204"/>
      <c r="B166" s="1205"/>
      <c r="C166" s="1205"/>
      <c r="D166" s="1205"/>
      <c r="E166" s="1206"/>
      <c r="F166" s="179"/>
      <c r="G166" s="181"/>
      <c r="H166" s="1080">
        <v>2.52</v>
      </c>
      <c r="I166" s="1191">
        <f>H166*H165*F165</f>
        <v>16.9344</v>
      </c>
      <c r="J166" s="908" t="s">
        <v>842</v>
      </c>
    </row>
    <row r="167" spans="1:10">
      <c r="A167" s="1242"/>
      <c r="B167" s="1243"/>
      <c r="C167" s="1243"/>
      <c r="D167" s="1243"/>
      <c r="E167" s="1244"/>
      <c r="F167" s="179"/>
      <c r="G167" s="181"/>
      <c r="H167" s="179"/>
      <c r="I167" s="1074"/>
      <c r="J167" s="908"/>
    </row>
    <row r="168" spans="1:10" ht="17.25" customHeight="1">
      <c r="A168" s="1592" t="s">
        <v>1353</v>
      </c>
      <c r="B168" s="1593"/>
      <c r="C168" s="1593"/>
      <c r="D168" s="1593"/>
      <c r="E168" s="1594"/>
      <c r="F168" s="179">
        <v>2</v>
      </c>
      <c r="G168" s="181"/>
      <c r="H168" s="179">
        <v>0.8</v>
      </c>
      <c r="I168" s="1074"/>
      <c r="J168" s="908"/>
    </row>
    <row r="169" spans="1:10">
      <c r="A169" s="1242"/>
      <c r="B169" s="1243"/>
      <c r="C169" s="1243"/>
      <c r="D169" s="1243"/>
      <c r="E169" s="1244"/>
      <c r="F169" s="179"/>
      <c r="G169" s="181"/>
      <c r="H169" s="1080">
        <v>0.8</v>
      </c>
      <c r="I169" s="1191">
        <f>H169*H168*F168</f>
        <v>1.2800000000000002</v>
      </c>
      <c r="J169" s="908" t="s">
        <v>842</v>
      </c>
    </row>
    <row r="170" spans="1:10" ht="15.75" thickBot="1">
      <c r="A170" s="1242"/>
      <c r="B170" s="1243" t="s">
        <v>1354</v>
      </c>
      <c r="C170" s="1243"/>
      <c r="D170" s="1243"/>
      <c r="E170" s="1244"/>
      <c r="F170" s="179"/>
      <c r="G170" s="181"/>
      <c r="H170" s="179"/>
      <c r="I170" s="1192">
        <f>I169+I166</f>
        <v>18.214400000000001</v>
      </c>
      <c r="J170" s="908" t="s">
        <v>842</v>
      </c>
    </row>
    <row r="171" spans="1:10" ht="15.75" thickTop="1">
      <c r="A171" s="1204"/>
      <c r="B171" s="1205"/>
      <c r="C171" s="1205"/>
      <c r="D171" s="1205"/>
      <c r="E171" s="1206"/>
      <c r="F171" s="179"/>
      <c r="G171" s="181"/>
      <c r="H171" s="179"/>
      <c r="I171" s="1074"/>
      <c r="J171" s="908"/>
    </row>
    <row r="172" spans="1:10" ht="15" customHeight="1">
      <c r="A172" s="1592" t="s">
        <v>1335</v>
      </c>
      <c r="B172" s="1593"/>
      <c r="C172" s="1593"/>
      <c r="D172" s="1593"/>
      <c r="E172" s="1594"/>
      <c r="F172" s="179"/>
      <c r="G172" s="181"/>
      <c r="H172" s="179"/>
      <c r="I172" s="1074"/>
      <c r="J172" s="908"/>
    </row>
    <row r="173" spans="1:10" s="1133" customFormat="1" ht="15" customHeight="1">
      <c r="A173" s="1592" t="s">
        <v>1336</v>
      </c>
      <c r="B173" s="1593"/>
      <c r="C173" s="1593"/>
      <c r="D173" s="1593"/>
      <c r="E173" s="1594"/>
      <c r="F173" s="179">
        <v>1</v>
      </c>
      <c r="G173" s="181"/>
      <c r="H173" s="179">
        <v>3.2149999999999999</v>
      </c>
      <c r="I173" s="1072"/>
      <c r="J173" s="908"/>
    </row>
    <row r="174" spans="1:10">
      <c r="A174" s="1204"/>
      <c r="B174" s="1205"/>
      <c r="C174" s="1205"/>
      <c r="D174" s="1205"/>
      <c r="E174" s="1206"/>
      <c r="F174" s="179"/>
      <c r="G174" s="181"/>
      <c r="H174" s="179">
        <v>2.4300000000000002</v>
      </c>
      <c r="I174" s="1074"/>
      <c r="J174" s="908"/>
    </row>
    <row r="175" spans="1:10">
      <c r="A175" s="1204"/>
      <c r="B175" s="1205"/>
      <c r="C175" s="1205"/>
      <c r="D175" s="1205"/>
      <c r="E175" s="1206"/>
      <c r="F175" s="179"/>
      <c r="G175" s="181"/>
      <c r="H175" s="1080">
        <v>0.8</v>
      </c>
      <c r="I175" s="1191">
        <f>H175*H174*H173*F173</f>
        <v>6.2499600000000006</v>
      </c>
      <c r="J175" s="908" t="s">
        <v>141</v>
      </c>
    </row>
    <row r="176" spans="1:10">
      <c r="A176" s="1207"/>
      <c r="B176" s="1208"/>
      <c r="C176" s="1208"/>
      <c r="D176" s="1208"/>
      <c r="E176" s="1209"/>
      <c r="F176" s="179"/>
      <c r="G176" s="181"/>
      <c r="H176" s="179"/>
      <c r="I176" s="1074"/>
      <c r="J176" s="908"/>
    </row>
    <row r="177" spans="1:10" s="1133" customFormat="1" ht="15" customHeight="1">
      <c r="A177" s="1592" t="s">
        <v>1339</v>
      </c>
      <c r="B177" s="1593"/>
      <c r="C177" s="1593"/>
      <c r="D177" s="1593"/>
      <c r="E177" s="1594"/>
      <c r="F177" s="179">
        <v>1</v>
      </c>
      <c r="G177" s="181"/>
      <c r="H177" s="179">
        <v>0.5</v>
      </c>
      <c r="I177" s="1072"/>
      <c r="J177" s="908"/>
    </row>
    <row r="178" spans="1:10">
      <c r="A178" s="1207"/>
      <c r="B178" s="1208"/>
      <c r="C178" s="1208"/>
      <c r="D178" s="1208"/>
      <c r="E178" s="1209"/>
      <c r="F178" s="179"/>
      <c r="G178" s="181"/>
      <c r="H178" s="179">
        <v>0.5</v>
      </c>
      <c r="I178" s="1074"/>
      <c r="J178" s="908"/>
    </row>
    <row r="179" spans="1:10">
      <c r="A179" s="1207"/>
      <c r="B179" s="1208"/>
      <c r="C179" s="1208"/>
      <c r="D179" s="1208"/>
      <c r="E179" s="1209"/>
      <c r="F179" s="179"/>
      <c r="G179" s="181"/>
      <c r="H179" s="1080">
        <v>0.75</v>
      </c>
      <c r="I179" s="1191">
        <f>H179*H178*H177*F177</f>
        <v>0.1875</v>
      </c>
      <c r="J179" s="908" t="s">
        <v>141</v>
      </c>
    </row>
    <row r="180" spans="1:10" ht="15.75" thickBot="1">
      <c r="A180" s="1207"/>
      <c r="B180" s="1208"/>
      <c r="C180" s="1208" t="s">
        <v>861</v>
      </c>
      <c r="D180" s="1208"/>
      <c r="E180" s="1209"/>
      <c r="F180" s="179"/>
      <c r="G180" s="181"/>
      <c r="H180" s="179"/>
      <c r="I180" s="1192">
        <f>I179+I175</f>
        <v>6.4374600000000006</v>
      </c>
      <c r="J180" s="908" t="s">
        <v>141</v>
      </c>
    </row>
    <row r="181" spans="1:10" ht="15.75" thickTop="1">
      <c r="A181" s="1204"/>
      <c r="B181" s="1205"/>
      <c r="C181" s="1205"/>
      <c r="D181" s="1205"/>
      <c r="E181" s="1206"/>
      <c r="F181" s="179"/>
      <c r="G181" s="181"/>
      <c r="H181" s="179"/>
      <c r="I181" s="1074"/>
      <c r="J181" s="908"/>
    </row>
    <row r="182" spans="1:10" s="1133" customFormat="1" ht="15" customHeight="1">
      <c r="A182" s="1592" t="s">
        <v>1337</v>
      </c>
      <c r="B182" s="1593"/>
      <c r="C182" s="1593"/>
      <c r="D182" s="1593"/>
      <c r="E182" s="1594"/>
      <c r="F182" s="179">
        <v>1</v>
      </c>
      <c r="G182" s="181"/>
      <c r="H182" s="179">
        <v>1.5</v>
      </c>
      <c r="I182" s="1072"/>
      <c r="J182" s="908"/>
    </row>
    <row r="183" spans="1:10" s="1133" customFormat="1">
      <c r="A183" s="1204"/>
      <c r="B183" s="1205"/>
      <c r="C183" s="1205"/>
      <c r="D183" s="1205"/>
      <c r="E183" s="1206"/>
      <c r="F183" s="179"/>
      <c r="G183" s="181"/>
      <c r="H183" s="179">
        <v>2.375</v>
      </c>
      <c r="I183" s="1072"/>
      <c r="J183" s="908"/>
    </row>
    <row r="184" spans="1:10" s="1133" customFormat="1" ht="15.75" thickBot="1">
      <c r="A184" s="1204"/>
      <c r="B184" s="1205"/>
      <c r="C184" s="1205"/>
      <c r="D184" s="1205"/>
      <c r="E184" s="1206"/>
      <c r="F184" s="179"/>
      <c r="G184" s="181"/>
      <c r="H184" s="1080">
        <v>0.5</v>
      </c>
      <c r="I184" s="1079">
        <f>H184*H183*H182*F182</f>
        <v>1.78125</v>
      </c>
      <c r="J184" s="908" t="s">
        <v>141</v>
      </c>
    </row>
    <row r="185" spans="1:10" s="1133" customFormat="1" ht="15.75" thickTop="1">
      <c r="A185" s="1204"/>
      <c r="B185" s="1205"/>
      <c r="C185" s="1205"/>
      <c r="D185" s="1205"/>
      <c r="E185" s="1206"/>
      <c r="F185" s="179"/>
      <c r="G185" s="181"/>
      <c r="H185" s="179"/>
      <c r="I185" s="1072"/>
      <c r="J185" s="908"/>
    </row>
    <row r="186" spans="1:10" s="1133" customFormat="1" ht="15" customHeight="1">
      <c r="A186" s="1592" t="s">
        <v>1338</v>
      </c>
      <c r="B186" s="1593"/>
      <c r="C186" s="1593"/>
      <c r="D186" s="1593"/>
      <c r="E186" s="1594"/>
      <c r="F186" s="179">
        <v>1</v>
      </c>
      <c r="G186" s="181"/>
      <c r="H186" s="179">
        <v>1.95</v>
      </c>
      <c r="I186" s="1072"/>
      <c r="J186" s="908"/>
    </row>
    <row r="187" spans="1:10" s="1133" customFormat="1">
      <c r="A187" s="1207"/>
      <c r="B187" s="1208"/>
      <c r="C187" s="1208"/>
      <c r="D187" s="1208"/>
      <c r="E187" s="1209"/>
      <c r="F187" s="179"/>
      <c r="G187" s="181"/>
      <c r="H187" s="179">
        <v>2.4300000000000002</v>
      </c>
      <c r="I187" s="1072"/>
      <c r="J187" s="908"/>
    </row>
    <row r="188" spans="1:10" s="1133" customFormat="1" ht="15.75" thickBot="1">
      <c r="A188" s="1207"/>
      <c r="B188" s="1208"/>
      <c r="C188" s="1208"/>
      <c r="D188" s="1208"/>
      <c r="E188" s="1209"/>
      <c r="F188" s="179"/>
      <c r="G188" s="181"/>
      <c r="H188" s="1080">
        <v>0.4</v>
      </c>
      <c r="I188" s="1079">
        <f>H188*H187*H186*F186</f>
        <v>1.8954000000000002</v>
      </c>
      <c r="J188" s="908" t="s">
        <v>141</v>
      </c>
    </row>
    <row r="189" spans="1:10" s="1133" customFormat="1" ht="15.75" thickTop="1">
      <c r="A189" s="1207"/>
      <c r="B189" s="1208"/>
      <c r="C189" s="1208"/>
      <c r="D189" s="1208"/>
      <c r="E189" s="1209"/>
      <c r="F189" s="179"/>
      <c r="G189" s="181"/>
      <c r="H189" s="179"/>
      <c r="I189" s="1072"/>
      <c r="J189" s="908"/>
    </row>
    <row r="190" spans="1:10" s="1133" customFormat="1" ht="15" customHeight="1">
      <c r="A190" s="1592" t="s">
        <v>1340</v>
      </c>
      <c r="B190" s="1593"/>
      <c r="C190" s="1593"/>
      <c r="D190" s="1593"/>
      <c r="E190" s="1594"/>
      <c r="F190" s="179">
        <v>1</v>
      </c>
      <c r="G190" s="181"/>
      <c r="H190" s="179">
        <v>1.4</v>
      </c>
      <c r="I190" s="1072"/>
      <c r="J190" s="908"/>
    </row>
    <row r="191" spans="1:10" s="1133" customFormat="1">
      <c r="A191" s="1207"/>
      <c r="B191" s="1208"/>
      <c r="C191" s="1208"/>
      <c r="D191" s="1208"/>
      <c r="E191" s="1209"/>
      <c r="F191" s="179"/>
      <c r="G191" s="181"/>
      <c r="H191" s="179">
        <v>0.99</v>
      </c>
      <c r="I191" s="1072"/>
      <c r="J191" s="908"/>
    </row>
    <row r="192" spans="1:10" s="1133" customFormat="1" ht="15.75" thickBot="1">
      <c r="A192" s="1207"/>
      <c r="B192" s="1208"/>
      <c r="C192" s="1208"/>
      <c r="D192" s="1208"/>
      <c r="E192" s="1209"/>
      <c r="F192" s="179"/>
      <c r="G192" s="181"/>
      <c r="H192" s="1080">
        <v>0.3</v>
      </c>
      <c r="I192" s="1079">
        <f>H192*H191*H190*F190</f>
        <v>0.41579999999999995</v>
      </c>
      <c r="J192" s="908" t="s">
        <v>141</v>
      </c>
    </row>
    <row r="193" spans="1:18" s="1133" customFormat="1" ht="15.75" thickTop="1">
      <c r="A193" s="1207"/>
      <c r="B193" s="1208"/>
      <c r="C193" s="1208"/>
      <c r="D193" s="1208"/>
      <c r="E193" s="1209"/>
      <c r="F193" s="179"/>
      <c r="G193" s="181"/>
      <c r="H193" s="179"/>
      <c r="I193" s="1072"/>
      <c r="J193" s="908"/>
    </row>
    <row r="194" spans="1:18" s="1133" customFormat="1" ht="15" customHeight="1">
      <c r="A194" s="1592" t="s">
        <v>1341</v>
      </c>
      <c r="B194" s="1593"/>
      <c r="C194" s="1593"/>
      <c r="D194" s="1593"/>
      <c r="E194" s="1594"/>
      <c r="F194" s="179">
        <v>1</v>
      </c>
      <c r="G194" s="181"/>
      <c r="H194" s="179">
        <v>2.88</v>
      </c>
      <c r="I194" s="1072"/>
      <c r="J194" s="908"/>
    </row>
    <row r="195" spans="1:18" s="1133" customFormat="1">
      <c r="A195" s="1207"/>
      <c r="B195" s="1208"/>
      <c r="C195" s="1208"/>
      <c r="D195" s="1208"/>
      <c r="E195" s="1209"/>
      <c r="F195" s="179"/>
      <c r="G195" s="181"/>
      <c r="H195" s="179">
        <v>1.23</v>
      </c>
      <c r="I195" s="1072"/>
      <c r="J195" s="908"/>
    </row>
    <row r="196" spans="1:18" s="1133" customFormat="1">
      <c r="A196" s="1207"/>
      <c r="B196" s="1208"/>
      <c r="C196" s="1208"/>
      <c r="D196" s="1208"/>
      <c r="E196" s="1209"/>
      <c r="F196" s="179"/>
      <c r="G196" s="181"/>
      <c r="H196" s="1080">
        <v>0.25</v>
      </c>
      <c r="I196" s="1080">
        <f>H196*H195*H194*F194</f>
        <v>0.88559999999999994</v>
      </c>
      <c r="J196" s="908" t="s">
        <v>141</v>
      </c>
    </row>
    <row r="197" spans="1:18" s="1133" customFormat="1">
      <c r="A197" s="1207"/>
      <c r="B197" s="1208"/>
      <c r="C197" s="1208"/>
      <c r="D197" s="1208"/>
      <c r="E197" s="1209"/>
      <c r="F197" s="179"/>
      <c r="G197" s="181"/>
      <c r="H197" s="179"/>
      <c r="I197" s="1072"/>
      <c r="J197" s="908"/>
    </row>
    <row r="198" spans="1:18" s="1133" customFormat="1">
      <c r="A198" s="1207"/>
      <c r="B198" s="1208"/>
      <c r="C198" s="1208"/>
      <c r="D198" s="1208"/>
      <c r="E198" s="1209"/>
      <c r="F198" s="179">
        <v>2</v>
      </c>
      <c r="G198" s="181"/>
      <c r="H198" s="179">
        <v>3.2149999999999999</v>
      </c>
      <c r="I198" s="1072"/>
      <c r="J198" s="908"/>
    </row>
    <row r="199" spans="1:18" s="1133" customFormat="1">
      <c r="A199" s="1207"/>
      <c r="B199" s="1208"/>
      <c r="C199" s="1208"/>
      <c r="D199" s="1208"/>
      <c r="E199" s="1209"/>
      <c r="F199" s="179"/>
      <c r="G199" s="181"/>
      <c r="H199" s="179">
        <v>0.93</v>
      </c>
      <c r="I199" s="1072"/>
      <c r="J199" s="908"/>
    </row>
    <row r="200" spans="1:18" s="1133" customFormat="1">
      <c r="A200" s="1207"/>
      <c r="B200" s="1208"/>
      <c r="C200" s="1208"/>
      <c r="D200" s="1208"/>
      <c r="E200" s="1209"/>
      <c r="F200" s="179"/>
      <c r="G200" s="181"/>
      <c r="H200" s="1080">
        <v>0.25</v>
      </c>
      <c r="I200" s="1080">
        <f>H200*H199*H198*F198</f>
        <v>1.4949749999999999</v>
      </c>
      <c r="J200" s="908" t="s">
        <v>141</v>
      </c>
    </row>
    <row r="201" spans="1:18" s="1133" customFormat="1">
      <c r="A201" s="1207"/>
      <c r="B201" s="1208"/>
      <c r="C201" s="1208"/>
      <c r="D201" s="1208"/>
      <c r="E201" s="1209"/>
      <c r="F201" s="179"/>
      <c r="G201" s="181"/>
      <c r="H201" s="179"/>
      <c r="I201" s="1072"/>
      <c r="J201" s="908"/>
    </row>
    <row r="202" spans="1:18" s="1133" customFormat="1">
      <c r="A202" s="1210"/>
      <c r="B202" s="1211"/>
      <c r="C202" s="1211"/>
      <c r="D202" s="1211"/>
      <c r="E202" s="1212"/>
      <c r="F202" s="179">
        <v>1</v>
      </c>
      <c r="G202" s="181"/>
      <c r="H202" s="179">
        <v>4.0750000000000002</v>
      </c>
      <c r="I202" s="1072"/>
      <c r="J202" s="908"/>
    </row>
    <row r="203" spans="1:18" s="1133" customFormat="1">
      <c r="A203" s="1210"/>
      <c r="B203" s="1211"/>
      <c r="C203" s="1211"/>
      <c r="D203" s="1211"/>
      <c r="E203" s="1212"/>
      <c r="F203" s="179"/>
      <c r="G203" s="181"/>
      <c r="H203" s="179">
        <v>1.33</v>
      </c>
      <c r="I203" s="1072"/>
      <c r="J203" s="908"/>
    </row>
    <row r="204" spans="1:18" s="1133" customFormat="1">
      <c r="A204" s="1210"/>
      <c r="B204" s="1211"/>
      <c r="C204" s="1211"/>
      <c r="D204" s="1211"/>
      <c r="E204" s="1212"/>
      <c r="F204" s="179"/>
      <c r="G204" s="181"/>
      <c r="H204" s="1080">
        <v>0.25</v>
      </c>
      <c r="I204" s="1080">
        <f>H204*H203*H202*F202</f>
        <v>1.3549375000000001</v>
      </c>
      <c r="J204" s="908" t="s">
        <v>141</v>
      </c>
    </row>
    <row r="205" spans="1:18" s="1133" customFormat="1">
      <c r="A205" s="1207"/>
      <c r="B205" s="1208"/>
      <c r="C205" s="1208"/>
      <c r="D205" s="1208"/>
      <c r="E205" s="1209"/>
      <c r="F205" s="179"/>
      <c r="G205" s="181"/>
      <c r="H205" s="179"/>
      <c r="I205" s="1072"/>
      <c r="J205" s="908"/>
      <c r="R205" s="1755"/>
    </row>
    <row r="206" spans="1:18" s="1133" customFormat="1" ht="29.25" thickBot="1">
      <c r="A206" s="1207"/>
      <c r="B206" s="1208"/>
      <c r="C206" s="1213" t="s">
        <v>1342</v>
      </c>
      <c r="D206" s="1208"/>
      <c r="E206" s="1209"/>
      <c r="F206" s="179"/>
      <c r="G206" s="181"/>
      <c r="H206" s="179"/>
      <c r="I206" s="1073">
        <f>I204+I200+I196</f>
        <v>3.7355125000000005</v>
      </c>
      <c r="J206" s="908" t="s">
        <v>141</v>
      </c>
      <c r="P206" s="1751"/>
    </row>
    <row r="207" spans="1:18" s="1133" customFormat="1" ht="16.5" thickTop="1" thickBot="1">
      <c r="A207" s="1752"/>
      <c r="B207" s="1753"/>
      <c r="C207" s="1753"/>
      <c r="D207" s="1753"/>
      <c r="E207" s="1754"/>
      <c r="F207" s="174"/>
      <c r="G207" s="175"/>
      <c r="H207" s="174"/>
      <c r="I207" s="1080"/>
      <c r="J207" s="906"/>
    </row>
    <row r="208" spans="1:18" ht="15.75" thickTop="1">
      <c r="A208" s="914"/>
      <c r="B208" s="215"/>
      <c r="C208" s="215" t="s">
        <v>10</v>
      </c>
      <c r="D208" s="215" t="s">
        <v>18</v>
      </c>
      <c r="E208" s="217"/>
      <c r="F208" s="216" t="s">
        <v>19</v>
      </c>
      <c r="G208" s="217"/>
      <c r="H208" s="217"/>
      <c r="I208" s="217"/>
      <c r="J208" s="915"/>
    </row>
    <row r="209" spans="1:10">
      <c r="A209" s="916" t="s">
        <v>15</v>
      </c>
      <c r="B209" s="188"/>
      <c r="C209" s="188"/>
      <c r="D209" s="194"/>
      <c r="E209" s="191"/>
      <c r="F209" s="191"/>
      <c r="G209" s="191"/>
      <c r="H209" s="191"/>
      <c r="I209" s="191"/>
      <c r="J209" s="917"/>
    </row>
    <row r="210" spans="1:10">
      <c r="A210" s="916" t="s">
        <v>16</v>
      </c>
      <c r="B210" s="188"/>
      <c r="C210" s="188"/>
      <c r="D210" s="194"/>
      <c r="E210" s="191"/>
      <c r="F210" s="191"/>
      <c r="G210" s="191"/>
      <c r="H210" s="191"/>
      <c r="I210" s="191"/>
      <c r="J210" s="917"/>
    </row>
    <row r="211" spans="1:10" ht="15.75" thickBot="1">
      <c r="A211" s="918" t="s">
        <v>553</v>
      </c>
      <c r="B211" s="919"/>
      <c r="C211" s="919"/>
      <c r="D211" s="920"/>
      <c r="E211" s="921"/>
      <c r="F211" s="921"/>
      <c r="G211" s="921"/>
      <c r="H211" s="921"/>
      <c r="I211" s="921"/>
      <c r="J211" s="922"/>
    </row>
    <row r="212" spans="1:10">
      <c r="A212" s="1605" t="s">
        <v>0</v>
      </c>
      <c r="B212" s="1606"/>
      <c r="C212" s="1607" t="s">
        <v>4</v>
      </c>
      <c r="D212" s="1608"/>
      <c r="E212" s="1609"/>
      <c r="F212" s="897" t="s">
        <v>7</v>
      </c>
      <c r="G212" s="898"/>
      <c r="H212" s="899" t="s">
        <v>8</v>
      </c>
      <c r="I212" s="899" t="s">
        <v>61</v>
      </c>
      <c r="J212" s="900"/>
    </row>
    <row r="213" spans="1:10" ht="15.75">
      <c r="A213" s="901" t="s">
        <v>552</v>
      </c>
      <c r="B213" s="169"/>
      <c r="C213" s="1583"/>
      <c r="D213" s="1584"/>
      <c r="E213" s="1585"/>
      <c r="F213" s="1595">
        <v>20</v>
      </c>
      <c r="G213" s="1596"/>
      <c r="H213" s="1288"/>
      <c r="I213" s="479"/>
      <c r="J213" s="902" t="s">
        <v>767</v>
      </c>
    </row>
    <row r="214" spans="1:10">
      <c r="A214" s="903" t="s">
        <v>2</v>
      </c>
      <c r="B214" s="171"/>
      <c r="C214" s="167" t="s">
        <v>5</v>
      </c>
      <c r="D214" s="172"/>
      <c r="E214" s="166"/>
      <c r="F214" s="165" t="s">
        <v>9</v>
      </c>
      <c r="G214" s="172"/>
      <c r="H214" s="172"/>
      <c r="I214" s="172"/>
      <c r="J214" s="904"/>
    </row>
    <row r="215" spans="1:10">
      <c r="A215" s="905" t="s">
        <v>490</v>
      </c>
      <c r="B215" s="173"/>
      <c r="C215" s="174"/>
      <c r="D215" s="456">
        <v>2</v>
      </c>
      <c r="E215" s="175"/>
      <c r="F215" s="176" t="s">
        <v>1329</v>
      </c>
      <c r="G215" s="177"/>
      <c r="H215" s="177"/>
      <c r="I215" s="177"/>
      <c r="J215" s="906"/>
    </row>
    <row r="216" spans="1:10">
      <c r="A216" s="903" t="s">
        <v>491</v>
      </c>
      <c r="B216" s="282"/>
      <c r="C216" s="165" t="s">
        <v>6</v>
      </c>
      <c r="D216" s="1588" t="s">
        <v>1186</v>
      </c>
      <c r="E216" s="1589"/>
      <c r="F216" s="165" t="s">
        <v>10</v>
      </c>
      <c r="G216" s="172"/>
      <c r="H216" s="172"/>
      <c r="I216" s="172"/>
      <c r="J216" s="904"/>
    </row>
    <row r="217" spans="1:10">
      <c r="A217" s="905" t="s">
        <v>1288</v>
      </c>
      <c r="B217" s="173"/>
      <c r="C217" s="174"/>
      <c r="D217" s="177"/>
      <c r="E217" s="175"/>
      <c r="F217" s="178"/>
      <c r="G217" s="177"/>
      <c r="H217" s="177"/>
      <c r="I217" s="177"/>
      <c r="J217" s="906"/>
    </row>
    <row r="218" spans="1:10">
      <c r="A218" s="909" t="s">
        <v>11</v>
      </c>
      <c r="B218" s="183"/>
      <c r="C218" s="172"/>
      <c r="D218" s="172"/>
      <c r="E218" s="166"/>
      <c r="F218" s="184" t="s">
        <v>12</v>
      </c>
      <c r="G218" s="166"/>
      <c r="H218" s="184" t="s">
        <v>13</v>
      </c>
      <c r="I218" s="1071" t="s">
        <v>14</v>
      </c>
      <c r="J218" s="904" t="s">
        <v>1189</v>
      </c>
    </row>
    <row r="219" spans="1:10" s="1133" customFormat="1" ht="15" customHeight="1">
      <c r="A219" s="1592" t="s">
        <v>1343</v>
      </c>
      <c r="B219" s="1593"/>
      <c r="C219" s="1593"/>
      <c r="D219" s="1593"/>
      <c r="E219" s="1594"/>
      <c r="F219" s="179"/>
      <c r="G219" s="181"/>
      <c r="H219" s="179"/>
      <c r="I219" s="1072"/>
      <c r="J219" s="908"/>
    </row>
    <row r="220" spans="1:10" s="1133" customFormat="1" ht="15" customHeight="1">
      <c r="A220" s="1592" t="s">
        <v>1344</v>
      </c>
      <c r="B220" s="1593"/>
      <c r="C220" s="1593"/>
      <c r="D220" s="1593"/>
      <c r="E220" s="1594"/>
      <c r="F220" s="179">
        <v>1</v>
      </c>
      <c r="G220" s="181"/>
      <c r="H220" s="179">
        <v>5.38</v>
      </c>
      <c r="I220" s="1072"/>
      <c r="J220" s="908"/>
    </row>
    <row r="221" spans="1:10" s="1133" customFormat="1">
      <c r="A221" s="1210"/>
      <c r="B221" s="1211"/>
      <c r="C221" s="1211"/>
      <c r="D221" s="1211"/>
      <c r="E221" s="1212"/>
      <c r="F221" s="179"/>
      <c r="G221" s="181"/>
      <c r="H221" s="1080">
        <v>0.5</v>
      </c>
      <c r="I221" s="1080">
        <f>H221*H220*F220</f>
        <v>2.69</v>
      </c>
      <c r="J221" s="908" t="s">
        <v>842</v>
      </c>
    </row>
    <row r="222" spans="1:10" s="1133" customFormat="1">
      <c r="A222" s="1210"/>
      <c r="B222" s="1211"/>
      <c r="C222" s="1211"/>
      <c r="D222" s="1211"/>
      <c r="E222" s="1212"/>
      <c r="F222" s="179"/>
      <c r="G222" s="181"/>
      <c r="H222" s="179"/>
      <c r="I222" s="1072"/>
      <c r="J222" s="908"/>
    </row>
    <row r="223" spans="1:10" s="1133" customFormat="1">
      <c r="A223" s="1210"/>
      <c r="B223" s="1211"/>
      <c r="C223" s="1211"/>
      <c r="D223" s="1211"/>
      <c r="E223" s="1212"/>
      <c r="F223" s="179">
        <v>2</v>
      </c>
      <c r="G223" s="181"/>
      <c r="H223" s="179">
        <v>3.2149999999999999</v>
      </c>
      <c r="I223" s="1072"/>
      <c r="J223" s="908"/>
    </row>
    <row r="224" spans="1:10" s="1133" customFormat="1">
      <c r="A224" s="1210"/>
      <c r="B224" s="1211"/>
      <c r="C224" s="1211"/>
      <c r="D224" s="1211"/>
      <c r="E224" s="1212"/>
      <c r="F224" s="179"/>
      <c r="G224" s="181"/>
      <c r="H224" s="1080">
        <v>0.8</v>
      </c>
      <c r="I224" s="1080">
        <f>H224*H223*F223</f>
        <v>5.1440000000000001</v>
      </c>
      <c r="J224" s="908" t="s">
        <v>842</v>
      </c>
    </row>
    <row r="225" spans="1:10" s="1133" customFormat="1">
      <c r="A225" s="1210"/>
      <c r="B225" s="1211"/>
      <c r="C225" s="1211"/>
      <c r="D225" s="1211"/>
      <c r="E225" s="1212"/>
      <c r="F225" s="179"/>
      <c r="G225" s="181"/>
      <c r="H225" s="179"/>
      <c r="I225" s="1072"/>
      <c r="J225" s="908"/>
    </row>
    <row r="226" spans="1:10" s="1133" customFormat="1">
      <c r="A226" s="1210"/>
      <c r="B226" s="1211"/>
      <c r="C226" s="1211"/>
      <c r="D226" s="1211"/>
      <c r="E226" s="1212"/>
      <c r="F226" s="179">
        <v>1</v>
      </c>
      <c r="G226" s="181"/>
      <c r="H226" s="179">
        <v>1.93</v>
      </c>
      <c r="I226" s="1072"/>
      <c r="J226" s="908"/>
    </row>
    <row r="227" spans="1:10" s="1133" customFormat="1">
      <c r="A227" s="1210"/>
      <c r="B227" s="1211"/>
      <c r="C227" s="1211"/>
      <c r="D227" s="1211"/>
      <c r="E227" s="1212"/>
      <c r="F227" s="179"/>
      <c r="G227" s="181"/>
      <c r="H227" s="1080">
        <v>0.3</v>
      </c>
      <c r="I227" s="1080">
        <f>H227*H226*F226</f>
        <v>0.57899999999999996</v>
      </c>
      <c r="J227" s="908" t="s">
        <v>842</v>
      </c>
    </row>
    <row r="228" spans="1:10" s="1133" customFormat="1">
      <c r="A228" s="1210"/>
      <c r="B228" s="1211"/>
      <c r="C228" s="1211"/>
      <c r="D228" s="1211"/>
      <c r="E228" s="1212"/>
      <c r="F228" s="179"/>
      <c r="G228" s="181"/>
      <c r="H228" s="179"/>
      <c r="I228" s="1072"/>
      <c r="J228" s="908"/>
    </row>
    <row r="229" spans="1:10" s="1133" customFormat="1">
      <c r="A229" s="1210"/>
      <c r="B229" s="1211"/>
      <c r="C229" s="1211"/>
      <c r="D229" s="1211"/>
      <c r="E229" s="1212"/>
      <c r="F229" s="179">
        <v>1</v>
      </c>
      <c r="G229" s="181"/>
      <c r="H229" s="179">
        <v>8.2550000000000008</v>
      </c>
      <c r="I229" s="1072"/>
      <c r="J229" s="908"/>
    </row>
    <row r="230" spans="1:10" s="1133" customFormat="1">
      <c r="A230" s="1204"/>
      <c r="B230" s="1205"/>
      <c r="C230" s="1205"/>
      <c r="D230" s="1205"/>
      <c r="E230" s="1206"/>
      <c r="F230" s="179"/>
      <c r="G230" s="181"/>
      <c r="H230" s="1080">
        <v>0.4</v>
      </c>
      <c r="I230" s="1080">
        <f>H230*H229*F229</f>
        <v>3.3020000000000005</v>
      </c>
      <c r="J230" s="908" t="s">
        <v>842</v>
      </c>
    </row>
    <row r="231" spans="1:10">
      <c r="A231" s="1204"/>
      <c r="B231" s="1205"/>
      <c r="C231" s="1205"/>
      <c r="D231" s="1205"/>
      <c r="E231" s="1206"/>
      <c r="F231" s="179"/>
      <c r="G231" s="181"/>
      <c r="H231" s="179"/>
      <c r="I231" s="1074"/>
      <c r="J231" s="908"/>
    </row>
    <row r="232" spans="1:10" s="1133" customFormat="1" ht="15.75" thickBot="1">
      <c r="A232" s="1592" t="s">
        <v>1345</v>
      </c>
      <c r="B232" s="1593"/>
      <c r="C232" s="1593"/>
      <c r="D232" s="1593"/>
      <c r="E232" s="1594"/>
      <c r="F232" s="179"/>
      <c r="G232" s="181"/>
      <c r="H232" s="179"/>
      <c r="I232" s="1079">
        <f>I230+I227+I224+I221</f>
        <v>11.715</v>
      </c>
      <c r="J232" s="908" t="s">
        <v>842</v>
      </c>
    </row>
    <row r="233" spans="1:10" ht="15.75" thickTop="1">
      <c r="A233" s="1204"/>
      <c r="B233" s="1205"/>
      <c r="C233" s="1205"/>
      <c r="D233" s="1205"/>
      <c r="E233" s="1206"/>
      <c r="F233" s="179"/>
      <c r="G233" s="181"/>
      <c r="H233" s="179"/>
      <c r="I233" s="1074"/>
      <c r="J233" s="908"/>
    </row>
    <row r="234" spans="1:10" s="1133" customFormat="1" ht="15" customHeight="1">
      <c r="A234" s="1592" t="s">
        <v>1346</v>
      </c>
      <c r="B234" s="1593"/>
      <c r="C234" s="1593"/>
      <c r="D234" s="1593"/>
      <c r="E234" s="1594"/>
      <c r="F234" s="179">
        <v>2</v>
      </c>
      <c r="G234" s="181"/>
      <c r="H234" s="179">
        <v>2.88</v>
      </c>
      <c r="I234" s="1072"/>
      <c r="J234" s="908"/>
    </row>
    <row r="235" spans="1:10">
      <c r="A235" s="1210"/>
      <c r="B235" s="1211"/>
      <c r="C235" s="1211"/>
      <c r="D235" s="1211"/>
      <c r="E235" s="1212"/>
      <c r="F235" s="179"/>
      <c r="G235" s="181"/>
      <c r="H235" s="1080">
        <v>1.23</v>
      </c>
      <c r="I235" s="1191">
        <f>H235*H234*F234</f>
        <v>7.0847999999999995</v>
      </c>
      <c r="J235" s="908" t="s">
        <v>842</v>
      </c>
    </row>
    <row r="236" spans="1:10">
      <c r="A236" s="1210"/>
      <c r="B236" s="1211"/>
      <c r="C236" s="1211"/>
      <c r="D236" s="1211"/>
      <c r="E236" s="1212"/>
      <c r="F236" s="179"/>
      <c r="G236" s="181"/>
      <c r="H236" s="179"/>
      <c r="I236" s="1074"/>
      <c r="J236" s="908"/>
    </row>
    <row r="237" spans="1:10">
      <c r="A237" s="1210"/>
      <c r="B237" s="1211"/>
      <c r="C237" s="1211"/>
      <c r="D237" s="1211"/>
      <c r="E237" s="1212"/>
      <c r="F237" s="179">
        <v>4</v>
      </c>
      <c r="G237" s="181"/>
      <c r="H237" s="179">
        <v>3.2149999999999999</v>
      </c>
      <c r="I237" s="1074"/>
      <c r="J237" s="908"/>
    </row>
    <row r="238" spans="1:10">
      <c r="A238" s="1210"/>
      <c r="B238" s="1211"/>
      <c r="C238" s="1211"/>
      <c r="D238" s="1211"/>
      <c r="E238" s="1212"/>
      <c r="F238" s="179"/>
      <c r="G238" s="181"/>
      <c r="H238" s="1080">
        <v>0.93</v>
      </c>
      <c r="I238" s="1191">
        <f>H238*H237*F237</f>
        <v>11.9598</v>
      </c>
      <c r="J238" s="908" t="s">
        <v>842</v>
      </c>
    </row>
    <row r="239" spans="1:10">
      <c r="A239" s="1210"/>
      <c r="B239" s="1211"/>
      <c r="C239" s="1211"/>
      <c r="D239" s="1211"/>
      <c r="E239" s="1212"/>
      <c r="F239" s="179"/>
      <c r="G239" s="181"/>
      <c r="H239" s="179"/>
      <c r="I239" s="1074"/>
      <c r="J239" s="908"/>
    </row>
    <row r="240" spans="1:10">
      <c r="A240" s="1210"/>
      <c r="B240" s="1211"/>
      <c r="C240" s="1211"/>
      <c r="D240" s="1211"/>
      <c r="E240" s="1212"/>
      <c r="F240" s="179">
        <v>2</v>
      </c>
      <c r="G240" s="181"/>
      <c r="H240" s="179">
        <v>4.0750000000000002</v>
      </c>
      <c r="I240" s="1074"/>
      <c r="J240" s="908"/>
    </row>
    <row r="241" spans="1:10">
      <c r="A241" s="1210"/>
      <c r="B241" s="1211"/>
      <c r="C241" s="1211"/>
      <c r="D241" s="1211"/>
      <c r="E241" s="1212"/>
      <c r="F241" s="179"/>
      <c r="G241" s="181"/>
      <c r="H241" s="1080">
        <v>1.33</v>
      </c>
      <c r="I241" s="1191">
        <f>H241*H240*F240</f>
        <v>10.839500000000001</v>
      </c>
      <c r="J241" s="908" t="s">
        <v>842</v>
      </c>
    </row>
    <row r="242" spans="1:10">
      <c r="A242" s="1204"/>
      <c r="B242" s="1205"/>
      <c r="C242" s="1205"/>
      <c r="D242" s="1205"/>
      <c r="E242" s="1206"/>
      <c r="F242" s="179"/>
      <c r="G242" s="181"/>
      <c r="H242" s="179"/>
      <c r="I242" s="1074"/>
      <c r="J242" s="908"/>
    </row>
    <row r="243" spans="1:10" s="1133" customFormat="1" ht="15.75" thickBot="1">
      <c r="A243" s="1592" t="s">
        <v>1347</v>
      </c>
      <c r="B243" s="1593"/>
      <c r="C243" s="1593"/>
      <c r="D243" s="1593"/>
      <c r="E243" s="1594"/>
      <c r="F243" s="179"/>
      <c r="G243" s="181"/>
      <c r="H243" s="179"/>
      <c r="I243" s="1073">
        <f>I241+I238+I235</f>
        <v>29.884100000000004</v>
      </c>
      <c r="J243" s="908" t="s">
        <v>842</v>
      </c>
    </row>
    <row r="244" spans="1:10" ht="15.75" thickTop="1">
      <c r="A244" s="1204"/>
      <c r="B244" s="1205"/>
      <c r="C244" s="1205"/>
      <c r="D244" s="1205"/>
      <c r="E244" s="1206"/>
      <c r="F244" s="179"/>
      <c r="G244" s="181"/>
      <c r="H244" s="179"/>
      <c r="I244" s="1074"/>
      <c r="J244" s="908"/>
    </row>
    <row r="245" spans="1:10" s="1133" customFormat="1" ht="15" customHeight="1">
      <c r="A245" s="1718" t="s">
        <v>1348</v>
      </c>
      <c r="B245" s="1719"/>
      <c r="C245" s="1719"/>
      <c r="D245" s="1719"/>
      <c r="E245" s="1720"/>
      <c r="F245" s="179"/>
      <c r="G245" s="181"/>
      <c r="H245" s="179"/>
      <c r="I245" s="1072"/>
      <c r="J245" s="908"/>
    </row>
    <row r="246" spans="1:10">
      <c r="A246" s="1204"/>
      <c r="B246" s="1205"/>
      <c r="C246" s="1205"/>
      <c r="D246" s="1205"/>
      <c r="E246" s="1206"/>
      <c r="F246" s="179"/>
      <c r="G246" s="181"/>
      <c r="H246" s="179"/>
      <c r="I246" s="1074"/>
      <c r="J246" s="908"/>
    </row>
    <row r="247" spans="1:10" s="1133" customFormat="1" ht="15.75" customHeight="1" thickBot="1">
      <c r="A247" s="1592" t="s">
        <v>1349</v>
      </c>
      <c r="B247" s="1593"/>
      <c r="C247" s="1593"/>
      <c r="D247" s="1593"/>
      <c r="E247" s="1594"/>
      <c r="F247" s="179">
        <v>1</v>
      </c>
      <c r="G247" s="181"/>
      <c r="H247" s="1080">
        <v>7.44</v>
      </c>
      <c r="I247" s="1079">
        <f>H247</f>
        <v>7.44</v>
      </c>
      <c r="J247" s="908" t="s">
        <v>103</v>
      </c>
    </row>
    <row r="248" spans="1:10" s="1133" customFormat="1" ht="16.5" customHeight="1" thickTop="1" thickBot="1">
      <c r="A248" s="1592" t="s">
        <v>1350</v>
      </c>
      <c r="B248" s="1593"/>
      <c r="C248" s="1593"/>
      <c r="D248" s="1593"/>
      <c r="E248" s="1594"/>
      <c r="F248" s="179">
        <v>1</v>
      </c>
      <c r="G248" s="181"/>
      <c r="H248" s="188">
        <v>1678.06</v>
      </c>
      <c r="I248" s="1088">
        <f>H248</f>
        <v>1678.06</v>
      </c>
      <c r="J248" s="908" t="s">
        <v>103</v>
      </c>
    </row>
    <row r="249" spans="1:10" s="1133" customFormat="1" ht="16.5" customHeight="1" thickTop="1" thickBot="1">
      <c r="A249" s="1592" t="s">
        <v>1351</v>
      </c>
      <c r="B249" s="1593"/>
      <c r="C249" s="1593"/>
      <c r="D249" s="1593"/>
      <c r="E249" s="1594"/>
      <c r="F249" s="179">
        <v>1</v>
      </c>
      <c r="G249" s="181"/>
      <c r="H249" s="188">
        <v>291.85000000000002</v>
      </c>
      <c r="I249" s="1088">
        <f>H249</f>
        <v>291.85000000000002</v>
      </c>
      <c r="J249" s="908" t="s">
        <v>103</v>
      </c>
    </row>
    <row r="250" spans="1:10" ht="15.75" thickTop="1">
      <c r="A250" s="1204"/>
      <c r="B250" s="1205"/>
      <c r="C250" s="1205"/>
      <c r="D250" s="1205"/>
      <c r="E250" s="1206"/>
      <c r="F250" s="179"/>
      <c r="G250" s="181"/>
      <c r="H250" s="179"/>
      <c r="I250" s="1074"/>
      <c r="J250" s="908"/>
    </row>
    <row r="251" spans="1:10">
      <c r="A251" s="1204"/>
      <c r="B251" s="1205"/>
      <c r="C251" s="1205"/>
      <c r="D251" s="1205"/>
      <c r="E251" s="1206"/>
      <c r="F251" s="179"/>
      <c r="G251" s="181"/>
      <c r="H251" s="179"/>
      <c r="I251" s="1074"/>
      <c r="J251" s="908"/>
    </row>
    <row r="252" spans="1:10" ht="15.75" thickBot="1">
      <c r="A252" s="911"/>
      <c r="B252" s="198"/>
      <c r="C252" s="198"/>
      <c r="D252" s="198"/>
      <c r="E252" s="181"/>
      <c r="F252" s="179"/>
      <c r="G252" s="181"/>
      <c r="H252" s="179"/>
      <c r="I252" s="1079"/>
      <c r="J252" s="908"/>
    </row>
    <row r="253" spans="1:10" ht="15.75" thickTop="1">
      <c r="A253" s="914"/>
      <c r="B253" s="215"/>
      <c r="C253" s="215" t="s">
        <v>10</v>
      </c>
      <c r="D253" s="215" t="s">
        <v>18</v>
      </c>
      <c r="E253" s="217"/>
      <c r="F253" s="216" t="s">
        <v>19</v>
      </c>
      <c r="G253" s="217"/>
      <c r="H253" s="217"/>
      <c r="I253" s="217"/>
      <c r="J253" s="915"/>
    </row>
    <row r="254" spans="1:10">
      <c r="A254" s="916" t="s">
        <v>15</v>
      </c>
      <c r="B254" s="188"/>
      <c r="C254" s="188"/>
      <c r="D254" s="194"/>
      <c r="E254" s="191"/>
      <c r="F254" s="191"/>
      <c r="G254" s="191"/>
      <c r="H254" s="191"/>
      <c r="I254" s="191"/>
      <c r="J254" s="917"/>
    </row>
    <row r="255" spans="1:10">
      <c r="A255" s="916" t="s">
        <v>16</v>
      </c>
      <c r="B255" s="188"/>
      <c r="C255" s="188"/>
      <c r="D255" s="194"/>
      <c r="E255" s="191"/>
      <c r="F255" s="191"/>
      <c r="G255" s="191"/>
      <c r="H255" s="191"/>
      <c r="I255" s="191"/>
      <c r="J255" s="917"/>
    </row>
    <row r="256" spans="1:10" ht="15.75" thickBot="1">
      <c r="A256" s="918" t="s">
        <v>553</v>
      </c>
      <c r="B256" s="919"/>
      <c r="C256" s="919"/>
      <c r="D256" s="920"/>
      <c r="E256" s="921"/>
      <c r="F256" s="921"/>
      <c r="G256" s="921"/>
      <c r="H256" s="921"/>
      <c r="I256" s="921"/>
      <c r="J256" s="922"/>
    </row>
  </sheetData>
  <mergeCells count="80">
    <mergeCell ref="F68:G68"/>
    <mergeCell ref="D71:E71"/>
    <mergeCell ref="A212:B212"/>
    <mergeCell ref="C212:E213"/>
    <mergeCell ref="F213:G213"/>
    <mergeCell ref="A123:E123"/>
    <mergeCell ref="A124:E124"/>
    <mergeCell ref="A74:E74"/>
    <mergeCell ref="A92:E92"/>
    <mergeCell ref="A87:E87"/>
    <mergeCell ref="A75:E75"/>
    <mergeCell ref="A79:E79"/>
    <mergeCell ref="A83:E83"/>
    <mergeCell ref="A86:E86"/>
    <mergeCell ref="A88:E88"/>
    <mergeCell ref="A125:E125"/>
    <mergeCell ref="F4:G4"/>
    <mergeCell ref="D7:E7"/>
    <mergeCell ref="A12:D14"/>
    <mergeCell ref="A108:E108"/>
    <mergeCell ref="A112:E112"/>
    <mergeCell ref="A31:E31"/>
    <mergeCell ref="A33:E33"/>
    <mergeCell ref="A18:E18"/>
    <mergeCell ref="A20:E20"/>
    <mergeCell ref="A41:E41"/>
    <mergeCell ref="A42:E42"/>
    <mergeCell ref="A43:E43"/>
    <mergeCell ref="A44:E44"/>
    <mergeCell ref="F6:I6"/>
    <mergeCell ref="A11:C11"/>
    <mergeCell ref="A3:B3"/>
    <mergeCell ref="C3:E4"/>
    <mergeCell ref="A38:E38"/>
    <mergeCell ref="A39:E39"/>
    <mergeCell ref="A34:E34"/>
    <mergeCell ref="A35:E35"/>
    <mergeCell ref="A142:B142"/>
    <mergeCell ref="C142:E143"/>
    <mergeCell ref="A45:E45"/>
    <mergeCell ref="A47:E47"/>
    <mergeCell ref="A48:E48"/>
    <mergeCell ref="A101:E101"/>
    <mergeCell ref="A104:E104"/>
    <mergeCell ref="A67:B67"/>
    <mergeCell ref="C67:E68"/>
    <mergeCell ref="A52:E52"/>
    <mergeCell ref="A46:E46"/>
    <mergeCell ref="A49:E49"/>
    <mergeCell ref="A121:E121"/>
    <mergeCell ref="A127:E127"/>
    <mergeCell ref="A129:E129"/>
    <mergeCell ref="A107:E107"/>
    <mergeCell ref="F143:G143"/>
    <mergeCell ref="D146:E146"/>
    <mergeCell ref="A149:E149"/>
    <mergeCell ref="A150:E150"/>
    <mergeCell ref="A159:E159"/>
    <mergeCell ref="A154:E154"/>
    <mergeCell ref="A248:E248"/>
    <mergeCell ref="A249:E249"/>
    <mergeCell ref="A182:E182"/>
    <mergeCell ref="A219:E219"/>
    <mergeCell ref="A220:E220"/>
    <mergeCell ref="A232:E232"/>
    <mergeCell ref="A186:E186"/>
    <mergeCell ref="A190:E190"/>
    <mergeCell ref="A194:E194"/>
    <mergeCell ref="A234:E234"/>
    <mergeCell ref="A243:E243"/>
    <mergeCell ref="A245:E245"/>
    <mergeCell ref="A247:E247"/>
    <mergeCell ref="D216:E216"/>
    <mergeCell ref="A177:E177"/>
    <mergeCell ref="A163:E163"/>
    <mergeCell ref="A164:E164"/>
    <mergeCell ref="A165:E165"/>
    <mergeCell ref="A172:E172"/>
    <mergeCell ref="A173:E173"/>
    <mergeCell ref="A168:E168"/>
  </mergeCells>
  <pageMargins left="0.7" right="0.7" top="0.75" bottom="0.75" header="0.3" footer="0.3"/>
  <pageSetup paperSize="9" scale="67" orientation="portrait" verticalDpi="300" r:id="rId1"/>
  <rowBreaks count="3" manualBreakCount="3">
    <brk id="66" max="16383" man="1"/>
    <brk id="139" max="16383" man="1"/>
    <brk id="211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Q95"/>
  <sheetViews>
    <sheetView view="pageBreakPreview" topLeftCell="A33" zoomScaleNormal="85" zoomScaleSheetLayoutView="100" workbookViewId="0">
      <selection activeCell="I33" sqref="I33"/>
    </sheetView>
  </sheetViews>
  <sheetFormatPr defaultRowHeight="15"/>
  <sheetData>
    <row r="1" spans="1:17">
      <c r="A1" s="1730" t="s">
        <v>946</v>
      </c>
      <c r="B1" s="1730"/>
      <c r="C1" s="1730"/>
      <c r="D1" s="1730"/>
      <c r="E1" s="1730"/>
      <c r="F1" s="1730"/>
      <c r="G1" s="1730"/>
      <c r="H1" s="1730"/>
      <c r="I1" s="1730"/>
      <c r="J1" s="1730"/>
      <c r="K1" s="1730"/>
      <c r="L1" s="1730"/>
      <c r="M1" s="1730"/>
      <c r="N1" s="1730"/>
      <c r="O1" s="1730"/>
      <c r="P1" s="1730"/>
      <c r="Q1" s="681"/>
    </row>
    <row r="2" spans="1:17">
      <c r="A2" s="1730"/>
      <c r="B2" s="1730"/>
      <c r="C2" s="1730"/>
      <c r="D2" s="1730"/>
      <c r="E2" s="1730"/>
      <c r="F2" s="1730"/>
      <c r="G2" s="1730"/>
      <c r="H2" s="1730"/>
      <c r="I2" s="1730"/>
      <c r="J2" s="1730"/>
      <c r="K2" s="1730"/>
      <c r="L2" s="1730"/>
      <c r="M2" s="1730"/>
      <c r="N2" s="1730"/>
      <c r="O2" s="1730"/>
      <c r="P2" s="1730"/>
      <c r="Q2" s="1730"/>
    </row>
    <row r="3" spans="1:17">
      <c r="A3" s="682" t="s">
        <v>989</v>
      </c>
    </row>
    <row r="4" spans="1:17">
      <c r="A4" s="682" t="s">
        <v>948</v>
      </c>
    </row>
    <row r="5" spans="1:17">
      <c r="A5" s="682" t="s">
        <v>949</v>
      </c>
    </row>
    <row r="6" spans="1:17" ht="15.75" thickBot="1">
      <c r="A6" s="682"/>
      <c r="F6" s="683" t="s">
        <v>950</v>
      </c>
    </row>
    <row r="7" spans="1:17" ht="16.5" thickTop="1">
      <c r="A7" s="1731" t="s">
        <v>951</v>
      </c>
      <c r="B7" s="684" t="s">
        <v>73</v>
      </c>
      <c r="C7" s="684" t="s">
        <v>952</v>
      </c>
      <c r="D7" s="684" t="s">
        <v>953</v>
      </c>
      <c r="E7" s="684" t="s">
        <v>75</v>
      </c>
      <c r="F7" s="684" t="s">
        <v>75</v>
      </c>
      <c r="G7" s="684" t="s">
        <v>861</v>
      </c>
      <c r="H7" s="684" t="s">
        <v>954</v>
      </c>
      <c r="I7" s="684" t="s">
        <v>861</v>
      </c>
      <c r="J7" s="685" t="s">
        <v>955</v>
      </c>
      <c r="K7" s="685" t="s">
        <v>956</v>
      </c>
      <c r="L7" s="685" t="s">
        <v>957</v>
      </c>
      <c r="M7" s="685" t="s">
        <v>958</v>
      </c>
      <c r="N7" s="685" t="s">
        <v>959</v>
      </c>
      <c r="O7" s="685" t="s">
        <v>960</v>
      </c>
      <c r="P7" s="686" t="s">
        <v>961</v>
      </c>
      <c r="Q7" s="671"/>
    </row>
    <row r="8" spans="1:17">
      <c r="A8" s="1732"/>
      <c r="B8" s="687"/>
      <c r="C8" s="688" t="s">
        <v>74</v>
      </c>
      <c r="D8" s="687" t="s">
        <v>962</v>
      </c>
      <c r="E8" s="688" t="s">
        <v>963</v>
      </c>
      <c r="F8" s="688" t="s">
        <v>964</v>
      </c>
      <c r="G8" s="688" t="s">
        <v>75</v>
      </c>
      <c r="H8" s="688" t="s">
        <v>965</v>
      </c>
      <c r="I8" s="688" t="s">
        <v>954</v>
      </c>
      <c r="J8" s="687"/>
      <c r="K8" s="687"/>
      <c r="L8" s="687"/>
      <c r="M8" s="687"/>
      <c r="N8" s="687"/>
      <c r="O8" s="687"/>
      <c r="P8" s="689"/>
      <c r="Q8" s="671"/>
    </row>
    <row r="9" spans="1:17">
      <c r="A9" s="690"/>
      <c r="B9" s="691"/>
      <c r="C9" s="691"/>
      <c r="D9" s="691"/>
      <c r="E9" s="691"/>
      <c r="F9" s="692" t="s">
        <v>952</v>
      </c>
      <c r="G9" s="692" t="s">
        <v>952</v>
      </c>
      <c r="H9" s="692" t="s">
        <v>952</v>
      </c>
      <c r="I9" s="691"/>
      <c r="J9" s="691"/>
      <c r="K9" s="691"/>
      <c r="L9" s="691"/>
      <c r="M9" s="691"/>
      <c r="N9" s="691"/>
      <c r="O9" s="691"/>
      <c r="P9" s="693"/>
      <c r="Q9" s="671"/>
    </row>
    <row r="10" spans="1:17">
      <c r="A10" s="694"/>
      <c r="B10" s="695" t="s">
        <v>966</v>
      </c>
      <c r="C10" s="23"/>
      <c r="D10" s="23"/>
      <c r="E10" s="23"/>
      <c r="F10" s="23"/>
      <c r="G10" s="696"/>
      <c r="H10" s="694"/>
      <c r="I10" s="697"/>
      <c r="J10" s="698"/>
      <c r="K10" s="699"/>
      <c r="L10" s="700"/>
      <c r="M10" s="699"/>
      <c r="N10" s="698"/>
      <c r="O10" s="698"/>
      <c r="P10" s="701"/>
      <c r="Q10" s="671"/>
    </row>
    <row r="11" spans="1:17">
      <c r="A11" s="694"/>
      <c r="B11" s="695" t="s">
        <v>967</v>
      </c>
      <c r="C11" s="23"/>
      <c r="D11" s="23"/>
      <c r="E11" s="23"/>
      <c r="F11" s="23"/>
      <c r="G11" s="696"/>
      <c r="H11" s="694"/>
      <c r="I11" s="697"/>
      <c r="J11" s="702"/>
      <c r="K11" s="699"/>
      <c r="L11" s="703"/>
      <c r="M11" s="699"/>
      <c r="N11" s="698"/>
      <c r="O11" s="698"/>
      <c r="P11" s="701"/>
      <c r="Q11" s="671"/>
    </row>
    <row r="12" spans="1:17">
      <c r="A12" s="23"/>
      <c r="B12" s="704" t="s">
        <v>968</v>
      </c>
      <c r="C12" s="23"/>
      <c r="D12" s="23">
        <v>12</v>
      </c>
      <c r="E12" s="23">
        <v>62</v>
      </c>
      <c r="F12" s="23">
        <v>2</v>
      </c>
      <c r="G12" s="23">
        <f>E12*F12</f>
        <v>124</v>
      </c>
      <c r="H12" s="696">
        <v>10.3</v>
      </c>
      <c r="I12" s="705">
        <f>G12*H12</f>
        <v>1277.2</v>
      </c>
      <c r="J12" s="698"/>
      <c r="K12" s="699"/>
      <c r="L12" s="700"/>
      <c r="M12" s="699">
        <v>1277.2</v>
      </c>
      <c r="N12" s="698"/>
      <c r="O12" s="698"/>
      <c r="P12" s="701"/>
      <c r="Q12" s="671"/>
    </row>
    <row r="13" spans="1:17">
      <c r="A13" s="23"/>
      <c r="B13" s="704" t="s">
        <v>969</v>
      </c>
      <c r="C13" s="23"/>
      <c r="D13" s="23">
        <v>12</v>
      </c>
      <c r="E13" s="23">
        <v>168</v>
      </c>
      <c r="F13" s="23">
        <v>2</v>
      </c>
      <c r="G13" s="23">
        <f t="shared" ref="G13:G23" si="0">E13*F13</f>
        <v>336</v>
      </c>
      <c r="H13" s="23">
        <v>7.3</v>
      </c>
      <c r="I13" s="705">
        <f t="shared" ref="I13:I17" si="1">G13*H13</f>
        <v>2452.7999999999997</v>
      </c>
      <c r="J13" s="702"/>
      <c r="K13" s="699"/>
      <c r="L13" s="706"/>
      <c r="M13" s="707">
        <v>2452.7999999999997</v>
      </c>
      <c r="N13" s="698"/>
      <c r="O13" s="698"/>
      <c r="P13" s="701"/>
      <c r="Q13" s="671"/>
    </row>
    <row r="14" spans="1:17">
      <c r="A14" s="23"/>
      <c r="B14" s="691"/>
      <c r="C14" s="691"/>
      <c r="D14" s="691">
        <v>12</v>
      </c>
      <c r="E14" s="691">
        <v>24</v>
      </c>
      <c r="F14" s="691">
        <v>4</v>
      </c>
      <c r="G14" s="23">
        <f t="shared" si="0"/>
        <v>96</v>
      </c>
      <c r="H14" s="708">
        <v>2.1</v>
      </c>
      <c r="I14" s="705">
        <f t="shared" si="1"/>
        <v>201.60000000000002</v>
      </c>
      <c r="J14" s="698"/>
      <c r="K14" s="699"/>
      <c r="L14" s="700"/>
      <c r="M14" s="709">
        <v>201.60000000000002</v>
      </c>
      <c r="N14" s="698"/>
      <c r="O14" s="698"/>
      <c r="P14" s="701"/>
      <c r="Q14" s="671"/>
    </row>
    <row r="15" spans="1:17">
      <c r="A15" s="23"/>
      <c r="B15" s="23"/>
      <c r="C15" s="23"/>
      <c r="D15" s="23">
        <v>12</v>
      </c>
      <c r="E15" s="23">
        <v>84</v>
      </c>
      <c r="F15" s="23">
        <v>2</v>
      </c>
      <c r="G15" s="23">
        <f t="shared" si="0"/>
        <v>168</v>
      </c>
      <c r="H15" s="696">
        <v>11.3</v>
      </c>
      <c r="I15" s="705">
        <f t="shared" si="1"/>
        <v>1898.4</v>
      </c>
      <c r="J15" s="702"/>
      <c r="K15" s="699"/>
      <c r="L15" s="703"/>
      <c r="M15" s="699">
        <v>1898.4</v>
      </c>
      <c r="N15" s="702"/>
      <c r="O15" s="698"/>
      <c r="P15" s="701"/>
      <c r="Q15" s="671"/>
    </row>
    <row r="16" spans="1:17">
      <c r="A16" s="23"/>
      <c r="B16" s="23"/>
      <c r="C16" s="23"/>
      <c r="D16" s="23">
        <v>12</v>
      </c>
      <c r="E16" s="23">
        <v>31</v>
      </c>
      <c r="F16" s="23">
        <v>2</v>
      </c>
      <c r="G16" s="23">
        <f t="shared" si="0"/>
        <v>62</v>
      </c>
      <c r="H16" s="696">
        <v>8.3000000000000007</v>
      </c>
      <c r="I16" s="705">
        <f t="shared" si="1"/>
        <v>514.6</v>
      </c>
      <c r="J16" s="698"/>
      <c r="K16" s="699"/>
      <c r="L16" s="700"/>
      <c r="M16" s="699">
        <v>514.6</v>
      </c>
      <c r="N16" s="702"/>
      <c r="O16" s="698"/>
      <c r="P16" s="701"/>
      <c r="Q16" s="671"/>
    </row>
    <row r="17" spans="1:17">
      <c r="A17" s="23"/>
      <c r="B17" s="23" t="s">
        <v>970</v>
      </c>
      <c r="C17" s="23"/>
      <c r="D17" s="23">
        <v>14</v>
      </c>
      <c r="E17" s="23">
        <v>46</v>
      </c>
      <c r="F17" s="23">
        <v>4</v>
      </c>
      <c r="G17" s="696">
        <f t="shared" si="0"/>
        <v>184</v>
      </c>
      <c r="H17" s="694">
        <v>1.6</v>
      </c>
      <c r="I17" s="696">
        <f t="shared" si="1"/>
        <v>294.40000000000003</v>
      </c>
      <c r="J17" s="702"/>
      <c r="K17" s="699"/>
      <c r="L17" s="703"/>
      <c r="M17" s="699"/>
      <c r="N17" s="702">
        <v>294.40000000000003</v>
      </c>
      <c r="O17" s="698"/>
      <c r="P17" s="701"/>
      <c r="Q17" s="671"/>
    </row>
    <row r="18" spans="1:17">
      <c r="A18" s="23"/>
      <c r="B18" s="23" t="s">
        <v>971</v>
      </c>
      <c r="C18" s="23"/>
      <c r="D18" s="23">
        <v>14</v>
      </c>
      <c r="E18" s="23">
        <v>46</v>
      </c>
      <c r="F18" s="23">
        <v>4</v>
      </c>
      <c r="G18" s="696">
        <f t="shared" si="0"/>
        <v>184</v>
      </c>
      <c r="H18" s="694">
        <v>3.2</v>
      </c>
      <c r="I18" s="696">
        <f>G18*H18</f>
        <v>588.80000000000007</v>
      </c>
      <c r="J18" s="698"/>
      <c r="K18" s="699"/>
      <c r="L18" s="700"/>
      <c r="M18" s="699"/>
      <c r="N18" s="702">
        <v>588.80000000000007</v>
      </c>
      <c r="O18" s="698"/>
      <c r="P18" s="701"/>
      <c r="Q18" s="671"/>
    </row>
    <row r="19" spans="1:17">
      <c r="A19" s="23"/>
      <c r="B19" s="23"/>
      <c r="C19" s="23"/>
      <c r="D19" s="23">
        <v>14</v>
      </c>
      <c r="E19" s="23">
        <v>65</v>
      </c>
      <c r="F19" s="23">
        <v>4</v>
      </c>
      <c r="G19" s="696">
        <f t="shared" si="0"/>
        <v>260</v>
      </c>
      <c r="H19" s="694">
        <v>1.6</v>
      </c>
      <c r="I19" s="696">
        <f t="shared" ref="I19:I24" si="2">G19*H19</f>
        <v>416</v>
      </c>
      <c r="J19" s="702"/>
      <c r="K19" s="699"/>
      <c r="L19" s="706"/>
      <c r="M19" s="699"/>
      <c r="N19" s="702">
        <v>416</v>
      </c>
      <c r="O19" s="698"/>
      <c r="P19" s="701"/>
      <c r="Q19" s="671"/>
    </row>
    <row r="20" spans="1:17">
      <c r="A20" s="23"/>
      <c r="B20" s="23"/>
      <c r="C20" s="23"/>
      <c r="D20" s="23">
        <v>14</v>
      </c>
      <c r="E20" s="23">
        <v>65</v>
      </c>
      <c r="F20" s="23">
        <v>4</v>
      </c>
      <c r="G20" s="696">
        <f t="shared" si="0"/>
        <v>260</v>
      </c>
      <c r="H20" s="694">
        <v>3.2</v>
      </c>
      <c r="I20" s="696">
        <f t="shared" si="2"/>
        <v>832</v>
      </c>
      <c r="J20" s="698"/>
      <c r="K20" s="699"/>
      <c r="L20" s="700"/>
      <c r="M20" s="709"/>
      <c r="N20" s="698">
        <v>832</v>
      </c>
      <c r="O20" s="698"/>
      <c r="P20" s="701"/>
      <c r="Q20" s="671"/>
    </row>
    <row r="21" spans="1:17">
      <c r="A21" s="23"/>
      <c r="B21" s="23"/>
      <c r="C21" s="23"/>
      <c r="D21" s="23">
        <v>14</v>
      </c>
      <c r="E21" s="23">
        <v>46</v>
      </c>
      <c r="F21" s="23">
        <v>2</v>
      </c>
      <c r="G21" s="696">
        <f t="shared" si="0"/>
        <v>92</v>
      </c>
      <c r="H21" s="694">
        <v>2.81</v>
      </c>
      <c r="I21" s="696">
        <f t="shared" si="2"/>
        <v>258.52</v>
      </c>
      <c r="J21" s="702"/>
      <c r="K21" s="699"/>
      <c r="L21" s="700"/>
      <c r="M21" s="709"/>
      <c r="N21" s="698">
        <v>258.52</v>
      </c>
      <c r="O21" s="698"/>
      <c r="P21" s="701"/>
      <c r="Q21" s="671"/>
    </row>
    <row r="22" spans="1:17">
      <c r="A22" s="23"/>
      <c r="B22" s="23"/>
      <c r="C22" s="23"/>
      <c r="D22" s="23">
        <v>14</v>
      </c>
      <c r="E22" s="23">
        <v>46</v>
      </c>
      <c r="F22" s="23">
        <v>2</v>
      </c>
      <c r="G22" s="696">
        <f t="shared" si="0"/>
        <v>92</v>
      </c>
      <c r="H22" s="694">
        <v>3.5</v>
      </c>
      <c r="I22" s="696">
        <f t="shared" si="2"/>
        <v>322</v>
      </c>
      <c r="J22" s="698"/>
      <c r="K22" s="699"/>
      <c r="L22" s="700"/>
      <c r="M22" s="709"/>
      <c r="N22" s="698">
        <v>322</v>
      </c>
      <c r="O22" s="698"/>
      <c r="P22" s="701"/>
      <c r="Q22" s="671"/>
    </row>
    <row r="23" spans="1:17">
      <c r="A23" s="23"/>
      <c r="B23" s="23"/>
      <c r="C23" s="23"/>
      <c r="D23" s="23">
        <v>14</v>
      </c>
      <c r="E23" s="23">
        <v>46</v>
      </c>
      <c r="F23" s="23">
        <v>2</v>
      </c>
      <c r="G23" s="696">
        <f t="shared" si="0"/>
        <v>92</v>
      </c>
      <c r="H23" s="694">
        <v>3.7</v>
      </c>
      <c r="I23" s="696">
        <f t="shared" si="2"/>
        <v>340.40000000000003</v>
      </c>
      <c r="J23" s="702"/>
      <c r="K23" s="699"/>
      <c r="L23" s="703"/>
      <c r="M23" s="709"/>
      <c r="N23" s="698">
        <v>340.40000000000003</v>
      </c>
      <c r="O23" s="698"/>
      <c r="P23" s="701"/>
      <c r="Q23" s="671"/>
    </row>
    <row r="24" spans="1:17">
      <c r="A24" s="23"/>
      <c r="B24" s="23"/>
      <c r="C24" s="23"/>
      <c r="D24" s="23">
        <v>14</v>
      </c>
      <c r="E24" s="23">
        <v>65</v>
      </c>
      <c r="F24" s="23">
        <v>2</v>
      </c>
      <c r="G24" s="696">
        <f>E24*F24</f>
        <v>130</v>
      </c>
      <c r="H24" s="694">
        <v>2.81</v>
      </c>
      <c r="I24" s="696">
        <f t="shared" si="2"/>
        <v>365.3</v>
      </c>
      <c r="J24" s="702"/>
      <c r="K24" s="698"/>
      <c r="L24" s="698"/>
      <c r="M24" s="699"/>
      <c r="N24" s="702">
        <f>I24</f>
        <v>365.3</v>
      </c>
      <c r="O24" s="698"/>
      <c r="P24" s="701"/>
      <c r="Q24" s="671"/>
    </row>
    <row r="25" spans="1:17">
      <c r="A25" s="23"/>
      <c r="B25" s="23"/>
      <c r="C25" s="23"/>
      <c r="D25" s="23">
        <v>14</v>
      </c>
      <c r="E25" s="23">
        <v>65</v>
      </c>
      <c r="F25" s="23">
        <v>2</v>
      </c>
      <c r="G25" s="696">
        <v>92</v>
      </c>
      <c r="H25" s="694">
        <v>3.5</v>
      </c>
      <c r="I25" s="696">
        <v>322</v>
      </c>
      <c r="J25" s="702"/>
      <c r="K25" s="698"/>
      <c r="L25" s="698"/>
      <c r="M25" s="699"/>
      <c r="N25" s="702">
        <v>322</v>
      </c>
      <c r="O25" s="698"/>
      <c r="P25" s="701"/>
      <c r="Q25" s="671"/>
    </row>
    <row r="26" spans="1:17">
      <c r="A26" s="23"/>
      <c r="B26" s="23"/>
      <c r="C26" s="23"/>
      <c r="D26" s="23">
        <v>14</v>
      </c>
      <c r="E26" s="23">
        <v>65</v>
      </c>
      <c r="F26" s="23">
        <v>2</v>
      </c>
      <c r="G26" s="696">
        <v>92</v>
      </c>
      <c r="H26" s="694">
        <v>3.7</v>
      </c>
      <c r="I26" s="696">
        <v>340.40000000000003</v>
      </c>
      <c r="J26" s="702"/>
      <c r="K26" s="698"/>
      <c r="L26" s="698"/>
      <c r="M26" s="699"/>
      <c r="N26" s="702">
        <v>340.40000000000003</v>
      </c>
      <c r="O26" s="698"/>
      <c r="P26" s="701"/>
      <c r="Q26" s="671"/>
    </row>
    <row r="27" spans="1:17">
      <c r="A27" s="23"/>
      <c r="B27" s="23"/>
      <c r="C27" s="23"/>
      <c r="D27" s="710">
        <v>14</v>
      </c>
      <c r="E27" s="710">
        <v>65</v>
      </c>
      <c r="F27" s="710">
        <v>1</v>
      </c>
      <c r="G27" s="696">
        <f>E27*F27</f>
        <v>65</v>
      </c>
      <c r="H27" s="694">
        <v>2.1</v>
      </c>
      <c r="I27" s="696">
        <f>G27*H27</f>
        <v>136.5</v>
      </c>
      <c r="J27" s="702"/>
      <c r="K27" s="698"/>
      <c r="L27" s="698"/>
      <c r="M27" s="699"/>
      <c r="N27" s="702">
        <f>I27</f>
        <v>136.5</v>
      </c>
      <c r="O27" s="698"/>
      <c r="P27" s="701"/>
      <c r="Q27" s="671"/>
    </row>
    <row r="28" spans="1:17">
      <c r="A28" s="23"/>
      <c r="B28" s="23"/>
      <c r="C28" s="23"/>
      <c r="D28" s="710">
        <v>14</v>
      </c>
      <c r="E28" s="710">
        <v>46</v>
      </c>
      <c r="F28" s="710">
        <v>1</v>
      </c>
      <c r="G28" s="696">
        <v>46</v>
      </c>
      <c r="H28" s="694">
        <v>2.1</v>
      </c>
      <c r="I28" s="696">
        <f>G28*H28</f>
        <v>96.600000000000009</v>
      </c>
      <c r="J28" s="702"/>
      <c r="K28" s="698"/>
      <c r="L28" s="698"/>
      <c r="M28" s="699"/>
      <c r="N28" s="702">
        <v>96</v>
      </c>
      <c r="O28" s="698"/>
      <c r="P28" s="701"/>
      <c r="Q28" s="671"/>
    </row>
    <row r="29" spans="1:17">
      <c r="D29" s="41"/>
      <c r="E29" s="41"/>
      <c r="G29" s="711" t="s">
        <v>972</v>
      </c>
      <c r="J29" s="712"/>
      <c r="K29" s="706"/>
      <c r="L29" s="713"/>
      <c r="M29" s="714">
        <f>M12+M13+M14+M15+M16</f>
        <v>6344.6</v>
      </c>
      <c r="N29" s="714">
        <f>N17+N18+N19+N20+N21+N22+N23+N24+N25+N26+N27+N28</f>
        <v>4312.32</v>
      </c>
      <c r="O29" s="715"/>
      <c r="P29" s="716"/>
    </row>
    <row r="30" spans="1:17">
      <c r="G30" s="711" t="s">
        <v>973</v>
      </c>
      <c r="J30" s="717">
        <v>0.222</v>
      </c>
      <c r="K30" s="699">
        <v>0.39500000000000002</v>
      </c>
      <c r="L30" s="699">
        <v>0.61699999999999999</v>
      </c>
      <c r="M30" s="699">
        <v>0.88800000000000001</v>
      </c>
      <c r="N30" s="699">
        <v>1.2090000000000001</v>
      </c>
      <c r="O30" s="699">
        <v>1.579</v>
      </c>
      <c r="P30" s="701">
        <v>2.4689999999999999</v>
      </c>
    </row>
    <row r="31" spans="1:17" ht="15.75" thickBot="1">
      <c r="G31" s="711" t="s">
        <v>974</v>
      </c>
      <c r="J31" s="718">
        <v>0</v>
      </c>
      <c r="K31" s="718">
        <v>0</v>
      </c>
      <c r="L31" s="718">
        <v>0</v>
      </c>
      <c r="M31" s="718">
        <f>M29*M30</f>
        <v>5634.0048000000006</v>
      </c>
      <c r="N31" s="718">
        <f>N30*N29</f>
        <v>5213.5948799999996</v>
      </c>
      <c r="O31" s="718">
        <v>0</v>
      </c>
      <c r="P31" s="718">
        <v>0</v>
      </c>
    </row>
    <row r="32" spans="1:17" ht="15.75" thickTop="1"/>
    <row r="35" spans="1:16">
      <c r="A35" s="1733" t="s">
        <v>946</v>
      </c>
      <c r="B35" s="1733"/>
      <c r="C35" s="1733"/>
      <c r="D35" s="1733"/>
      <c r="E35" s="1733"/>
      <c r="F35" s="1733"/>
      <c r="G35" s="1733"/>
      <c r="H35" s="1733"/>
      <c r="I35" s="1733"/>
      <c r="J35" s="1733"/>
      <c r="K35" s="1733"/>
      <c r="L35" s="1733"/>
      <c r="M35" s="1733"/>
      <c r="N35" s="1733"/>
      <c r="O35" s="1733"/>
      <c r="P35" s="1733"/>
    </row>
    <row r="36" spans="1:16">
      <c r="A36" t="s">
        <v>975</v>
      </c>
    </row>
    <row r="37" spans="1:16">
      <c r="A37" t="s">
        <v>947</v>
      </c>
    </row>
    <row r="38" spans="1:16">
      <c r="A38" t="s">
        <v>948</v>
      </c>
    </row>
    <row r="39" spans="1:16">
      <c r="A39" t="s">
        <v>949</v>
      </c>
    </row>
    <row r="40" spans="1:16">
      <c r="F40" s="683" t="s">
        <v>976</v>
      </c>
    </row>
    <row r="41" spans="1:16">
      <c r="A41" s="1734" t="s">
        <v>951</v>
      </c>
      <c r="B41" s="1734" t="s">
        <v>73</v>
      </c>
      <c r="C41" s="1734" t="s">
        <v>977</v>
      </c>
      <c r="D41" s="1734" t="s">
        <v>978</v>
      </c>
      <c r="E41" s="1737" t="s">
        <v>979</v>
      </c>
      <c r="F41" s="1737" t="s">
        <v>980</v>
      </c>
      <c r="G41" s="1737" t="s">
        <v>981</v>
      </c>
      <c r="H41" s="1737" t="s">
        <v>982</v>
      </c>
      <c r="I41" s="1737" t="s">
        <v>983</v>
      </c>
      <c r="J41" s="23" t="s">
        <v>955</v>
      </c>
      <c r="K41" s="23" t="s">
        <v>956</v>
      </c>
      <c r="L41" s="23" t="s">
        <v>957</v>
      </c>
      <c r="M41" s="23" t="s">
        <v>958</v>
      </c>
      <c r="N41" s="23" t="s">
        <v>959</v>
      </c>
      <c r="O41" s="23" t="s">
        <v>960</v>
      </c>
      <c r="P41" s="23" t="s">
        <v>961</v>
      </c>
    </row>
    <row r="42" spans="1:16">
      <c r="A42" s="1735"/>
      <c r="B42" s="1735"/>
      <c r="C42" s="1735"/>
      <c r="D42" s="1735"/>
      <c r="E42" s="1738"/>
      <c r="F42" s="1738"/>
      <c r="G42" s="1738"/>
      <c r="H42" s="1738"/>
      <c r="I42" s="1738"/>
      <c r="J42" s="23"/>
      <c r="K42" s="23"/>
      <c r="L42" s="23"/>
      <c r="M42" s="23"/>
      <c r="N42" s="23"/>
      <c r="O42" s="23"/>
      <c r="P42" s="23"/>
    </row>
    <row r="43" spans="1:16">
      <c r="A43" s="1736"/>
      <c r="B43" s="1736"/>
      <c r="C43" s="1736"/>
      <c r="D43" s="1736"/>
      <c r="E43" s="1739"/>
      <c r="F43" s="1739"/>
      <c r="G43" s="1739"/>
      <c r="H43" s="1739"/>
      <c r="I43" s="1739"/>
      <c r="J43" s="23"/>
      <c r="K43" s="23"/>
      <c r="L43" s="23"/>
      <c r="M43" s="23"/>
      <c r="N43" s="23"/>
      <c r="O43" s="23"/>
      <c r="P43" s="23"/>
    </row>
    <row r="44" spans="1:16">
      <c r="A44" s="23"/>
      <c r="B44" s="23"/>
      <c r="C44" s="23"/>
      <c r="D44" s="23">
        <v>14</v>
      </c>
      <c r="E44" s="23">
        <v>28</v>
      </c>
      <c r="F44" s="23">
        <v>4</v>
      </c>
      <c r="G44" s="23">
        <f>E44*F44</f>
        <v>112</v>
      </c>
      <c r="H44" s="23">
        <v>4.5</v>
      </c>
      <c r="I44" s="23">
        <f>G44*H44</f>
        <v>504</v>
      </c>
      <c r="J44" s="23"/>
      <c r="K44" s="23"/>
      <c r="L44" s="23"/>
      <c r="M44" s="23"/>
      <c r="N44" s="23">
        <v>504</v>
      </c>
      <c r="O44" s="23"/>
      <c r="P44" s="23"/>
    </row>
    <row r="45" spans="1:16">
      <c r="A45" s="23"/>
      <c r="B45" s="23"/>
      <c r="C45" s="23"/>
      <c r="D45" s="23">
        <v>14</v>
      </c>
      <c r="E45" s="23">
        <v>66</v>
      </c>
      <c r="F45" s="23">
        <v>4</v>
      </c>
      <c r="G45" s="23">
        <f>E45*F45</f>
        <v>264</v>
      </c>
      <c r="H45" s="23">
        <v>2.5</v>
      </c>
      <c r="I45" s="23">
        <f t="shared" ref="I45:I48" si="3">G45*H45</f>
        <v>660</v>
      </c>
      <c r="J45" s="23"/>
      <c r="K45" s="23"/>
      <c r="L45" s="23"/>
      <c r="M45" s="23"/>
      <c r="N45" s="23">
        <v>660</v>
      </c>
      <c r="O45" s="23"/>
      <c r="P45" s="23"/>
    </row>
    <row r="46" spans="1:16">
      <c r="A46" s="23"/>
      <c r="B46" s="23"/>
      <c r="C46" s="23"/>
      <c r="D46" s="23">
        <v>14</v>
      </c>
      <c r="E46" s="23">
        <v>66</v>
      </c>
      <c r="F46" s="23">
        <v>4</v>
      </c>
      <c r="G46" s="23">
        <f t="shared" ref="G46:G48" si="4">E46*F46</f>
        <v>264</v>
      </c>
      <c r="H46" s="23">
        <v>2.2000000000000002</v>
      </c>
      <c r="I46" s="23">
        <f t="shared" si="3"/>
        <v>580.80000000000007</v>
      </c>
      <c r="J46" s="23"/>
      <c r="K46" s="23"/>
      <c r="L46" s="23"/>
      <c r="M46" s="23"/>
      <c r="N46" s="23">
        <v>580.79999999999995</v>
      </c>
      <c r="O46" s="23"/>
      <c r="P46" s="23"/>
    </row>
    <row r="47" spans="1:16">
      <c r="A47" s="23"/>
      <c r="B47" s="23"/>
      <c r="C47" s="23"/>
      <c r="D47" s="23">
        <v>12</v>
      </c>
      <c r="E47" s="23">
        <v>40</v>
      </c>
      <c r="F47" s="23">
        <v>4</v>
      </c>
      <c r="G47" s="23">
        <f t="shared" si="4"/>
        <v>160</v>
      </c>
      <c r="H47" s="23">
        <v>2.25</v>
      </c>
      <c r="I47" s="23">
        <f t="shared" si="3"/>
        <v>360</v>
      </c>
      <c r="J47" s="23"/>
      <c r="K47" s="23"/>
      <c r="L47" s="23"/>
      <c r="M47" s="23">
        <v>360</v>
      </c>
      <c r="N47" s="23"/>
      <c r="O47" s="23"/>
      <c r="P47" s="23"/>
    </row>
    <row r="48" spans="1:16">
      <c r="A48" s="23"/>
      <c r="B48" s="23"/>
      <c r="C48" s="23"/>
      <c r="D48" s="23">
        <v>12</v>
      </c>
      <c r="E48" s="23">
        <v>40</v>
      </c>
      <c r="F48" s="23">
        <v>4</v>
      </c>
      <c r="G48" s="23">
        <f t="shared" si="4"/>
        <v>160</v>
      </c>
      <c r="H48" s="23">
        <v>1.3</v>
      </c>
      <c r="I48" s="23">
        <f t="shared" si="3"/>
        <v>208</v>
      </c>
      <c r="J48" s="23"/>
      <c r="K48" s="23"/>
      <c r="L48" s="23"/>
      <c r="M48" s="23">
        <v>208</v>
      </c>
      <c r="N48" s="23"/>
      <c r="O48" s="23"/>
      <c r="P48" s="23"/>
    </row>
    <row r="49" spans="1:16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1:16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1:16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16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1:16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</row>
    <row r="55" spans="1:16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1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1:16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16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1:16">
      <c r="A59" s="4"/>
      <c r="B59" s="4"/>
      <c r="C59" s="4"/>
      <c r="D59" s="4"/>
      <c r="E59" s="4"/>
      <c r="F59" s="4"/>
      <c r="G59" s="4" t="s">
        <v>972</v>
      </c>
      <c r="H59" s="4"/>
      <c r="I59" s="5"/>
      <c r="J59" s="23"/>
      <c r="K59" s="23"/>
      <c r="L59" s="23"/>
      <c r="M59" s="23">
        <f>M47+M48</f>
        <v>568</v>
      </c>
      <c r="N59" s="23">
        <f>N44+N45+N46</f>
        <v>1744.8</v>
      </c>
      <c r="O59" s="23"/>
      <c r="P59" s="23"/>
    </row>
    <row r="60" spans="1:16">
      <c r="A60" s="671"/>
      <c r="B60" s="671"/>
      <c r="C60" s="671"/>
      <c r="D60" s="671"/>
      <c r="E60" s="671"/>
      <c r="F60" s="671"/>
      <c r="G60" s="671" t="s">
        <v>973</v>
      </c>
      <c r="H60" s="671"/>
      <c r="I60" s="16"/>
      <c r="J60" s="23">
        <v>0.222</v>
      </c>
      <c r="K60" s="23">
        <v>0.39500000000000002</v>
      </c>
      <c r="L60" s="23">
        <v>0.61699999999999999</v>
      </c>
      <c r="M60" s="23">
        <v>0.88800000000000001</v>
      </c>
      <c r="N60" s="23">
        <v>1.2090000000000001</v>
      </c>
      <c r="O60" s="23">
        <v>1.579</v>
      </c>
      <c r="P60" s="23">
        <v>2.4689999999999999</v>
      </c>
    </row>
    <row r="61" spans="1:16">
      <c r="A61" s="671"/>
      <c r="B61" s="671"/>
      <c r="C61" s="671"/>
      <c r="D61" s="671"/>
      <c r="E61" s="671"/>
      <c r="F61" s="671"/>
      <c r="G61" s="671" t="s">
        <v>974</v>
      </c>
      <c r="H61" s="671"/>
      <c r="I61" s="16"/>
      <c r="J61" s="23">
        <v>0</v>
      </c>
      <c r="K61" s="23">
        <v>0</v>
      </c>
      <c r="L61" s="23">
        <v>0</v>
      </c>
      <c r="M61" s="23">
        <f>M59*M60</f>
        <v>504.38400000000001</v>
      </c>
      <c r="N61" s="23">
        <f>N59*N60</f>
        <v>2109.4632000000001</v>
      </c>
      <c r="O61" s="23">
        <v>0</v>
      </c>
      <c r="P61" s="23">
        <v>0</v>
      </c>
    </row>
    <row r="62" spans="1:16">
      <c r="A62" s="671"/>
      <c r="B62" s="671"/>
      <c r="C62" s="671"/>
      <c r="D62" s="671"/>
      <c r="E62" s="671"/>
      <c r="F62" s="671"/>
      <c r="G62" s="671"/>
      <c r="H62" s="671"/>
      <c r="I62" s="671"/>
      <c r="J62" s="4"/>
      <c r="K62" s="4"/>
      <c r="L62" s="4"/>
      <c r="M62" s="4"/>
      <c r="N62" s="4"/>
      <c r="O62" s="4"/>
      <c r="P62" s="4"/>
    </row>
    <row r="69" spans="1:16">
      <c r="A69" s="1733" t="s">
        <v>946</v>
      </c>
      <c r="B69" s="1733"/>
      <c r="C69" s="1733"/>
      <c r="D69" s="1733"/>
      <c r="E69" s="1733"/>
      <c r="F69" s="1733"/>
      <c r="G69" s="1733"/>
      <c r="H69" s="1733"/>
      <c r="I69" s="1733"/>
      <c r="J69" s="1733"/>
      <c r="K69" s="1733"/>
      <c r="L69" s="1733"/>
      <c r="M69" s="1733"/>
      <c r="N69" s="1733"/>
      <c r="O69" s="1733"/>
      <c r="P69" s="1733"/>
    </row>
    <row r="70" spans="1:16">
      <c r="A70" t="s">
        <v>975</v>
      </c>
    </row>
    <row r="71" spans="1:16">
      <c r="A71" t="s">
        <v>947</v>
      </c>
    </row>
    <row r="72" spans="1:16">
      <c r="A72" t="s">
        <v>948</v>
      </c>
    </row>
    <row r="73" spans="1:16">
      <c r="A73" t="s">
        <v>949</v>
      </c>
    </row>
    <row r="74" spans="1:16">
      <c r="F74" s="683" t="s">
        <v>984</v>
      </c>
    </row>
    <row r="75" spans="1:16">
      <c r="A75" s="1734" t="s">
        <v>951</v>
      </c>
      <c r="B75" s="1734" t="s">
        <v>73</v>
      </c>
      <c r="C75" s="1734" t="s">
        <v>977</v>
      </c>
      <c r="D75" s="1734" t="s">
        <v>978</v>
      </c>
      <c r="E75" s="1737" t="s">
        <v>979</v>
      </c>
      <c r="F75" s="1737" t="s">
        <v>980</v>
      </c>
      <c r="G75" s="1737" t="s">
        <v>981</v>
      </c>
      <c r="H75" s="1737" t="s">
        <v>982</v>
      </c>
      <c r="I75" s="1737" t="s">
        <v>983</v>
      </c>
      <c r="J75" s="23" t="s">
        <v>955</v>
      </c>
      <c r="K75" s="23" t="s">
        <v>956</v>
      </c>
      <c r="L75" s="23" t="s">
        <v>957</v>
      </c>
      <c r="M75" s="23" t="s">
        <v>958</v>
      </c>
      <c r="N75" s="23" t="s">
        <v>959</v>
      </c>
      <c r="O75" s="23" t="s">
        <v>960</v>
      </c>
      <c r="P75" s="23" t="s">
        <v>961</v>
      </c>
    </row>
    <row r="76" spans="1:16">
      <c r="A76" s="1735"/>
      <c r="B76" s="1735"/>
      <c r="C76" s="1735"/>
      <c r="D76" s="1735"/>
      <c r="E76" s="1738"/>
      <c r="F76" s="1738"/>
      <c r="G76" s="1738"/>
      <c r="H76" s="1738"/>
      <c r="I76" s="1738"/>
      <c r="J76" s="23"/>
      <c r="K76" s="23"/>
      <c r="L76" s="23"/>
      <c r="M76" s="23"/>
      <c r="N76" s="23"/>
      <c r="O76" s="23"/>
      <c r="P76" s="23"/>
    </row>
    <row r="77" spans="1:16">
      <c r="A77" s="1736"/>
      <c r="B77" s="1736"/>
      <c r="C77" s="1736"/>
      <c r="D77" s="1736"/>
      <c r="E77" s="1739"/>
      <c r="F77" s="1739"/>
      <c r="G77" s="1739"/>
      <c r="H77" s="1739"/>
      <c r="I77" s="1739"/>
      <c r="J77" s="23"/>
      <c r="K77" s="23"/>
      <c r="L77" s="23"/>
      <c r="M77" s="23"/>
      <c r="N77" s="23"/>
      <c r="O77" s="23"/>
      <c r="P77" s="23"/>
    </row>
    <row r="78" spans="1:16">
      <c r="A78" s="23"/>
      <c r="B78" s="23" t="s">
        <v>985</v>
      </c>
      <c r="C78" s="23"/>
      <c r="D78" s="23">
        <v>10</v>
      </c>
      <c r="E78" s="23">
        <v>24</v>
      </c>
      <c r="F78" s="23">
        <v>2</v>
      </c>
      <c r="G78" s="23">
        <f t="shared" ref="G78:G83" si="5">E78*F78</f>
        <v>48</v>
      </c>
      <c r="H78" s="23">
        <v>2.6</v>
      </c>
      <c r="I78" s="23">
        <f>G78*H78</f>
        <v>124.80000000000001</v>
      </c>
      <c r="J78" s="23"/>
      <c r="K78" s="23"/>
      <c r="L78" s="23">
        <f>I78</f>
        <v>124.80000000000001</v>
      </c>
      <c r="M78" s="23"/>
      <c r="N78" s="23"/>
      <c r="O78" s="23"/>
      <c r="P78" s="23"/>
    </row>
    <row r="79" spans="1:16">
      <c r="A79" s="23"/>
      <c r="B79" s="23" t="s">
        <v>985</v>
      </c>
      <c r="C79" s="23"/>
      <c r="D79" s="23">
        <v>10</v>
      </c>
      <c r="E79" s="23">
        <v>18</v>
      </c>
      <c r="F79" s="23">
        <v>2</v>
      </c>
      <c r="G79" s="23">
        <f t="shared" si="5"/>
        <v>36</v>
      </c>
      <c r="H79" s="23">
        <v>3.6</v>
      </c>
      <c r="I79" s="23">
        <f t="shared" ref="I79:I80" si="6">G79*H79</f>
        <v>129.6</v>
      </c>
      <c r="J79" s="23"/>
      <c r="K79" s="23"/>
      <c r="L79" s="23">
        <f>I79</f>
        <v>129.6</v>
      </c>
      <c r="M79" s="23"/>
      <c r="N79" s="23"/>
      <c r="O79" s="23"/>
      <c r="P79" s="23"/>
    </row>
    <row r="80" spans="1:16">
      <c r="A80" s="23"/>
      <c r="B80" s="719" t="s">
        <v>986</v>
      </c>
      <c r="C80" s="23"/>
      <c r="D80" s="23">
        <v>12</v>
      </c>
      <c r="E80" s="23">
        <v>206</v>
      </c>
      <c r="F80" s="23">
        <v>2</v>
      </c>
      <c r="G80" s="23">
        <f t="shared" si="5"/>
        <v>412</v>
      </c>
      <c r="H80" s="23">
        <v>8.0299999999999994</v>
      </c>
      <c r="I80" s="23">
        <f t="shared" si="6"/>
        <v>3308.3599999999997</v>
      </c>
      <c r="J80" s="23"/>
      <c r="K80" s="23"/>
      <c r="L80" s="23"/>
      <c r="M80" s="23">
        <f>I80</f>
        <v>3308.3599999999997</v>
      </c>
      <c r="N80" s="23"/>
      <c r="O80" s="23"/>
      <c r="P80" s="23"/>
    </row>
    <row r="81" spans="1:16">
      <c r="A81" s="23"/>
      <c r="B81" s="699" t="s">
        <v>987</v>
      </c>
      <c r="C81" s="23"/>
      <c r="D81" s="23">
        <v>12</v>
      </c>
      <c r="E81" s="23">
        <v>78</v>
      </c>
      <c r="F81" s="23">
        <v>2</v>
      </c>
      <c r="G81" s="23">
        <f t="shared" si="5"/>
        <v>156</v>
      </c>
      <c r="H81" s="23">
        <v>2.2999999999999998</v>
      </c>
      <c r="I81" s="23">
        <f>G81*H81</f>
        <v>358.79999999999995</v>
      </c>
      <c r="J81" s="23"/>
      <c r="K81" s="23"/>
      <c r="L81" s="23"/>
      <c r="M81" s="23">
        <f>I81</f>
        <v>358.79999999999995</v>
      </c>
      <c r="N81" s="23"/>
      <c r="O81" s="23"/>
      <c r="P81" s="23"/>
    </row>
    <row r="82" spans="1:16">
      <c r="A82" s="23"/>
      <c r="B82" s="699" t="s">
        <v>987</v>
      </c>
      <c r="C82" s="23"/>
      <c r="D82" s="23">
        <v>12</v>
      </c>
      <c r="E82" s="23">
        <v>78</v>
      </c>
      <c r="F82" s="23">
        <v>2</v>
      </c>
      <c r="G82" s="23">
        <f t="shared" si="5"/>
        <v>156</v>
      </c>
      <c r="H82" s="23">
        <v>3.7</v>
      </c>
      <c r="I82" s="23">
        <f>G82*H82</f>
        <v>577.20000000000005</v>
      </c>
      <c r="J82" s="23"/>
      <c r="K82" s="23"/>
      <c r="L82" s="23"/>
      <c r="M82" s="23">
        <f>I82</f>
        <v>577.20000000000005</v>
      </c>
      <c r="N82" s="23"/>
      <c r="O82" s="23"/>
      <c r="P82" s="23"/>
    </row>
    <row r="83" spans="1:16">
      <c r="A83" s="23"/>
      <c r="B83" s="719" t="s">
        <v>988</v>
      </c>
      <c r="C83" s="23"/>
      <c r="D83" s="23">
        <v>10</v>
      </c>
      <c r="E83" s="23">
        <v>14</v>
      </c>
      <c r="F83" s="23">
        <v>4</v>
      </c>
      <c r="G83" s="23">
        <f t="shared" si="5"/>
        <v>56</v>
      </c>
      <c r="H83" s="23">
        <v>1.6</v>
      </c>
      <c r="I83" s="23">
        <f>G83*H83</f>
        <v>89.600000000000009</v>
      </c>
      <c r="J83" s="23"/>
      <c r="K83" s="23"/>
      <c r="L83" s="23">
        <f>I83</f>
        <v>89.600000000000009</v>
      </c>
      <c r="M83" s="23"/>
      <c r="N83" s="23"/>
      <c r="O83" s="23"/>
      <c r="P83" s="23"/>
    </row>
    <row r="84" spans="1:16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1:16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1:1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1:16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1:16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1:16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1:16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1:16">
      <c r="A93" s="4"/>
      <c r="B93" s="4"/>
      <c r="C93" s="4"/>
      <c r="D93" s="4"/>
      <c r="E93" s="4"/>
      <c r="F93" s="4"/>
      <c r="G93" s="4" t="s">
        <v>972</v>
      </c>
      <c r="H93" s="4"/>
      <c r="I93" s="5"/>
      <c r="J93" s="23"/>
      <c r="K93" s="23"/>
      <c r="L93" s="23">
        <f>L78+L79+L83</f>
        <v>344</v>
      </c>
      <c r="M93" s="23">
        <f>M80+M81+M82</f>
        <v>4244.3599999999997</v>
      </c>
      <c r="N93" s="23">
        <f>N78+N79+N80</f>
        <v>0</v>
      </c>
      <c r="O93" s="23"/>
      <c r="P93" s="23"/>
    </row>
    <row r="94" spans="1:16">
      <c r="A94" s="671"/>
      <c r="B94" s="671"/>
      <c r="C94" s="671"/>
      <c r="D94" s="671"/>
      <c r="E94" s="671"/>
      <c r="F94" s="671"/>
      <c r="G94" s="671" t="s">
        <v>973</v>
      </c>
      <c r="H94" s="671"/>
      <c r="I94" s="16"/>
      <c r="J94" s="23">
        <v>0.222</v>
      </c>
      <c r="K94" s="23">
        <v>0.39500000000000002</v>
      </c>
      <c r="L94" s="23">
        <v>0.61699999999999999</v>
      </c>
      <c r="M94" s="23">
        <v>0.88800000000000001</v>
      </c>
      <c r="N94" s="23">
        <v>1.2090000000000001</v>
      </c>
      <c r="O94" s="23">
        <v>1.579</v>
      </c>
      <c r="P94" s="23">
        <v>2.4689999999999999</v>
      </c>
    </row>
    <row r="95" spans="1:16">
      <c r="A95" s="671"/>
      <c r="B95" s="671"/>
      <c r="C95" s="671"/>
      <c r="D95" s="671"/>
      <c r="E95" s="671"/>
      <c r="F95" s="671"/>
      <c r="G95" s="671" t="s">
        <v>974</v>
      </c>
      <c r="H95" s="671"/>
      <c r="I95" s="16"/>
      <c r="J95" s="23">
        <v>0</v>
      </c>
      <c r="K95" s="23">
        <v>0</v>
      </c>
      <c r="L95" s="23">
        <f>L93*L94</f>
        <v>212.24799999999999</v>
      </c>
      <c r="M95" s="23">
        <f>M93*M94</f>
        <v>3768.9916799999996</v>
      </c>
      <c r="N95" s="23">
        <f>N93*N94</f>
        <v>0</v>
      </c>
      <c r="O95" s="23">
        <v>0</v>
      </c>
      <c r="P95" s="23">
        <v>0</v>
      </c>
    </row>
  </sheetData>
  <mergeCells count="23">
    <mergeCell ref="G75:G77"/>
    <mergeCell ref="H75:H77"/>
    <mergeCell ref="I75:I77"/>
    <mergeCell ref="G41:G43"/>
    <mergeCell ref="H41:H43"/>
    <mergeCell ref="I41:I43"/>
    <mergeCell ref="A69:P69"/>
    <mergeCell ref="A75:A77"/>
    <mergeCell ref="B75:B77"/>
    <mergeCell ref="C75:C77"/>
    <mergeCell ref="D75:D77"/>
    <mergeCell ref="E75:E77"/>
    <mergeCell ref="F75:F77"/>
    <mergeCell ref="A1:P1"/>
    <mergeCell ref="A2:Q2"/>
    <mergeCell ref="A7:A8"/>
    <mergeCell ref="A35:P35"/>
    <mergeCell ref="A41:A43"/>
    <mergeCell ref="B41:B43"/>
    <mergeCell ref="C41:C43"/>
    <mergeCell ref="D41:D43"/>
    <mergeCell ref="E41:E43"/>
    <mergeCell ref="F41:F43"/>
  </mergeCells>
  <pageMargins left="0.7" right="0.7" top="0.75" bottom="0.75" header="0.3" footer="0.3"/>
  <pageSetup paperSize="9" scale="56" orientation="portrait" r:id="rId1"/>
  <rowBreaks count="1" manualBreakCount="1">
    <brk id="63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>
  <dimension ref="A1:L60"/>
  <sheetViews>
    <sheetView topLeftCell="A7" workbookViewId="0">
      <selection activeCell="E7" sqref="E7"/>
    </sheetView>
  </sheetViews>
  <sheetFormatPr defaultRowHeight="15"/>
  <cols>
    <col min="5" max="5" width="11.42578125" customWidth="1"/>
    <col min="8" max="8" width="11.7109375" customWidth="1"/>
  </cols>
  <sheetData>
    <row r="1" spans="1:10" ht="15.75" thickBot="1"/>
    <row r="2" spans="1:10" ht="15.75" thickTop="1">
      <c r="A2" s="1699" t="s">
        <v>0</v>
      </c>
      <c r="B2" s="1700"/>
      <c r="C2" s="1701" t="s">
        <v>4</v>
      </c>
      <c r="D2" s="1702"/>
      <c r="E2" s="1703"/>
      <c r="F2" s="568" t="s">
        <v>7</v>
      </c>
      <c r="G2" s="569"/>
      <c r="H2" s="570" t="s">
        <v>8</v>
      </c>
      <c r="I2" s="570" t="s">
        <v>61</v>
      </c>
      <c r="J2" s="571"/>
    </row>
    <row r="3" spans="1:10" ht="15.75" thickBot="1">
      <c r="A3" s="577" t="s">
        <v>552</v>
      </c>
      <c r="B3" s="545"/>
      <c r="C3" s="1704"/>
      <c r="D3" s="1705"/>
      <c r="E3" s="1706"/>
      <c r="F3" s="1707">
        <v>20</v>
      </c>
      <c r="G3" s="1708"/>
      <c r="H3" s="1248"/>
      <c r="I3" s="546"/>
      <c r="J3" s="578" t="s">
        <v>767</v>
      </c>
    </row>
    <row r="4" spans="1:10" ht="15.75" thickTop="1">
      <c r="A4" s="547" t="s">
        <v>2</v>
      </c>
      <c r="B4" s="548"/>
      <c r="C4" s="549" t="s">
        <v>5</v>
      </c>
      <c r="D4" s="550"/>
      <c r="E4" s="551"/>
      <c r="F4" s="552" t="s">
        <v>9</v>
      </c>
      <c r="G4" s="550"/>
      <c r="H4" s="550"/>
      <c r="I4" s="550"/>
      <c r="J4" s="553"/>
    </row>
    <row r="5" spans="1:10">
      <c r="A5" s="554" t="s">
        <v>490</v>
      </c>
      <c r="B5" s="173"/>
      <c r="C5" s="174"/>
      <c r="D5" s="456">
        <v>2</v>
      </c>
      <c r="E5" s="175"/>
      <c r="F5" s="176" t="s">
        <v>1371</v>
      </c>
      <c r="G5" s="177"/>
      <c r="H5" s="177"/>
      <c r="I5" s="177"/>
      <c r="J5" s="555"/>
    </row>
    <row r="6" spans="1:10">
      <c r="A6" s="556" t="s">
        <v>491</v>
      </c>
      <c r="B6" s="282"/>
      <c r="C6" s="165" t="s">
        <v>6</v>
      </c>
      <c r="D6" s="172"/>
      <c r="E6" s="166"/>
      <c r="F6" s="165" t="s">
        <v>10</v>
      </c>
      <c r="G6" s="172"/>
      <c r="H6" s="172"/>
      <c r="I6" s="172"/>
      <c r="J6" s="557"/>
    </row>
    <row r="7" spans="1:10">
      <c r="A7" s="554">
        <v>9</v>
      </c>
      <c r="B7" s="173"/>
      <c r="C7" s="174"/>
      <c r="D7" s="177" t="s">
        <v>1186</v>
      </c>
      <c r="E7" s="175"/>
      <c r="F7" s="178"/>
      <c r="G7" s="177"/>
      <c r="H7" s="177"/>
      <c r="I7" s="177"/>
      <c r="J7" s="555"/>
    </row>
    <row r="8" spans="1:10">
      <c r="A8" s="558" t="s">
        <v>11</v>
      </c>
      <c r="B8" s="180"/>
      <c r="C8" s="180"/>
      <c r="D8" s="180"/>
      <c r="E8" s="180"/>
      <c r="F8" s="180"/>
      <c r="G8" s="180"/>
      <c r="H8" s="180"/>
      <c r="I8" s="180"/>
      <c r="J8" s="559" t="s">
        <v>1189</v>
      </c>
    </row>
    <row r="9" spans="1:10">
      <c r="A9" s="1254"/>
      <c r="B9" s="1255"/>
      <c r="C9" s="191"/>
      <c r="D9" s="191"/>
      <c r="E9" s="192"/>
      <c r="F9" s="194" t="s">
        <v>12</v>
      </c>
      <c r="G9" s="192"/>
      <c r="H9" s="194" t="s">
        <v>13</v>
      </c>
      <c r="I9" s="188" t="s">
        <v>14</v>
      </c>
      <c r="J9" s="1071"/>
    </row>
    <row r="10" spans="1:10" ht="15.75">
      <c r="A10" s="1743" t="s">
        <v>1372</v>
      </c>
      <c r="B10" s="1682"/>
      <c r="C10" s="1682"/>
      <c r="D10" s="1682"/>
      <c r="E10" s="1683"/>
      <c r="F10" s="179"/>
      <c r="G10" s="181"/>
      <c r="H10" s="1072"/>
      <c r="I10" s="180"/>
      <c r="J10" s="1072"/>
    </row>
    <row r="11" spans="1:10" ht="24" customHeight="1">
      <c r="A11" s="1740" t="s">
        <v>1380</v>
      </c>
      <c r="B11" s="1641"/>
      <c r="C11" s="1641"/>
      <c r="D11" s="1641"/>
      <c r="E11" s="1741"/>
      <c r="F11" s="179"/>
      <c r="G11" s="180"/>
      <c r="H11" s="179"/>
      <c r="I11" s="179"/>
      <c r="J11" s="1072"/>
    </row>
    <row r="12" spans="1:10" ht="22.5" customHeight="1">
      <c r="A12" s="1740" t="s">
        <v>1373</v>
      </c>
      <c r="B12" s="1641"/>
      <c r="C12" s="1641"/>
      <c r="D12" s="1641"/>
      <c r="E12" s="1741"/>
      <c r="F12" s="179">
        <v>1</v>
      </c>
      <c r="G12" s="180"/>
      <c r="H12" s="179">
        <v>25</v>
      </c>
      <c r="I12" s="179"/>
      <c r="J12" s="1072"/>
    </row>
    <row r="13" spans="1:10" ht="22.5" customHeight="1">
      <c r="A13" s="1252"/>
      <c r="B13" s="1247"/>
      <c r="C13" s="1247"/>
      <c r="D13" s="1247"/>
      <c r="E13" s="1253"/>
      <c r="F13" s="179"/>
      <c r="G13" s="180"/>
      <c r="H13" s="179">
        <v>20.2</v>
      </c>
      <c r="I13" s="179"/>
      <c r="J13" s="1072"/>
    </row>
    <row r="14" spans="1:10" ht="15.75" thickBot="1">
      <c r="A14" s="561"/>
      <c r="B14" s="198"/>
      <c r="C14" s="198"/>
      <c r="D14" s="198"/>
      <c r="E14" s="181"/>
      <c r="F14" s="179"/>
      <c r="G14" s="180"/>
      <c r="H14" s="174">
        <v>0.2</v>
      </c>
      <c r="I14" s="187">
        <f>H14*H13*H12*F12</f>
        <v>101</v>
      </c>
      <c r="J14" s="1072" t="s">
        <v>141</v>
      </c>
    </row>
    <row r="15" spans="1:10" ht="15.75" thickTop="1">
      <c r="A15" s="561"/>
      <c r="B15" s="168"/>
      <c r="C15" s="168"/>
      <c r="D15" s="168"/>
      <c r="E15" s="168"/>
      <c r="F15" s="179"/>
      <c r="G15" s="180"/>
      <c r="H15" s="179"/>
      <c r="I15" s="179"/>
      <c r="J15" s="1072"/>
    </row>
    <row r="16" spans="1:10" ht="22.5" customHeight="1">
      <c r="A16" s="1740" t="s">
        <v>1374</v>
      </c>
      <c r="B16" s="1641"/>
      <c r="C16" s="1641"/>
      <c r="D16" s="1641"/>
      <c r="E16" s="1741"/>
      <c r="F16" s="179">
        <v>1</v>
      </c>
      <c r="G16" s="180"/>
      <c r="H16" s="179">
        <v>25</v>
      </c>
      <c r="I16" s="179"/>
      <c r="J16" s="1072"/>
    </row>
    <row r="17" spans="1:10" ht="15.75">
      <c r="A17" s="1698"/>
      <c r="B17" s="1627"/>
      <c r="C17" s="1627"/>
      <c r="D17" s="1627"/>
      <c r="E17" s="1628"/>
      <c r="F17" s="179"/>
      <c r="G17" s="181"/>
      <c r="H17" s="1072">
        <v>20.2</v>
      </c>
      <c r="I17" s="180"/>
      <c r="J17" s="1072"/>
    </row>
    <row r="18" spans="1:10" ht="15.75" thickBot="1">
      <c r="A18" s="1742"/>
      <c r="B18" s="1623"/>
      <c r="C18" s="1623"/>
      <c r="D18" s="1623"/>
      <c r="E18" s="1630"/>
      <c r="F18" s="179"/>
      <c r="G18" s="181"/>
      <c r="H18" s="1080">
        <v>0.06</v>
      </c>
      <c r="I18" s="1077">
        <f>H18*H17*H16*F16</f>
        <v>30.3</v>
      </c>
      <c r="J18" s="1072" t="s">
        <v>141</v>
      </c>
    </row>
    <row r="19" spans="1:10" ht="15.75" thickTop="1">
      <c r="A19" s="561"/>
      <c r="B19" s="1599"/>
      <c r="C19" s="1599"/>
      <c r="D19" s="1599"/>
      <c r="E19" s="1600"/>
      <c r="F19" s="179"/>
      <c r="G19" s="181"/>
      <c r="H19" s="1072"/>
      <c r="I19" s="180"/>
      <c r="J19" s="1072"/>
    </row>
    <row r="20" spans="1:10">
      <c r="A20" s="561"/>
      <c r="B20" s="1599"/>
      <c r="C20" s="1599"/>
      <c r="D20" s="1599"/>
      <c r="E20" s="1600"/>
      <c r="F20" s="179"/>
      <c r="G20" s="181"/>
      <c r="H20" s="1072"/>
      <c r="I20" s="186"/>
      <c r="J20" s="1072"/>
    </row>
    <row r="21" spans="1:10" ht="15.75">
      <c r="A21" s="1697"/>
      <c r="B21" s="1408"/>
      <c r="C21" s="1408"/>
      <c r="D21" s="1408"/>
      <c r="E21" s="1409"/>
      <c r="F21" s="179"/>
      <c r="G21" s="181"/>
      <c r="H21" s="1072"/>
      <c r="I21" s="180"/>
      <c r="J21" s="1072"/>
    </row>
    <row r="22" spans="1:10" ht="24" customHeight="1">
      <c r="A22" s="1740" t="s">
        <v>1381</v>
      </c>
      <c r="B22" s="1641"/>
      <c r="C22" s="1641"/>
      <c r="D22" s="1641"/>
      <c r="E22" s="1741"/>
      <c r="F22" s="179"/>
      <c r="G22" s="180"/>
      <c r="H22" s="179"/>
      <c r="I22" s="179"/>
      <c r="J22" s="1072"/>
    </row>
    <row r="23" spans="1:10" ht="22.5" customHeight="1">
      <c r="A23" s="1740" t="s">
        <v>1373</v>
      </c>
      <c r="B23" s="1641"/>
      <c r="C23" s="1641"/>
      <c r="D23" s="1641"/>
      <c r="E23" s="1741"/>
      <c r="F23" s="179">
        <v>1</v>
      </c>
      <c r="G23" s="180"/>
      <c r="H23" s="179">
        <v>25</v>
      </c>
      <c r="I23" s="179"/>
      <c r="J23" s="1072"/>
    </row>
    <row r="24" spans="1:10" ht="22.5" customHeight="1">
      <c r="A24" s="1260"/>
      <c r="B24" s="1258"/>
      <c r="C24" s="1258"/>
      <c r="D24" s="1258"/>
      <c r="E24" s="1261"/>
      <c r="F24" s="179"/>
      <c r="G24" s="180"/>
      <c r="H24" s="179">
        <v>20.2</v>
      </c>
      <c r="I24" s="179"/>
      <c r="J24" s="1072"/>
    </row>
    <row r="25" spans="1:10" ht="15.75" thickBot="1">
      <c r="A25" s="561"/>
      <c r="B25" s="198"/>
      <c r="C25" s="198"/>
      <c r="D25" s="198"/>
      <c r="E25" s="181"/>
      <c r="F25" s="179"/>
      <c r="G25" s="180"/>
      <c r="H25" s="174">
        <v>0.2</v>
      </c>
      <c r="I25" s="187">
        <f>H25*H24*H23*F23</f>
        <v>101</v>
      </c>
      <c r="J25" s="1072" t="s">
        <v>141</v>
      </c>
    </row>
    <row r="26" spans="1:10" ht="15.75" thickTop="1">
      <c r="A26" s="561"/>
      <c r="B26" s="168"/>
      <c r="C26" s="168"/>
      <c r="D26" s="168"/>
      <c r="E26" s="168"/>
      <c r="F26" s="179"/>
      <c r="G26" s="180"/>
      <c r="H26" s="179"/>
      <c r="I26" s="179"/>
      <c r="J26" s="1072"/>
    </row>
    <row r="27" spans="1:10" ht="22.5" customHeight="1">
      <c r="A27" s="1740" t="s">
        <v>1374</v>
      </c>
      <c r="B27" s="1641"/>
      <c r="C27" s="1641"/>
      <c r="D27" s="1641"/>
      <c r="E27" s="1741"/>
      <c r="F27" s="179">
        <v>1</v>
      </c>
      <c r="G27" s="180"/>
      <c r="H27" s="179">
        <v>25</v>
      </c>
      <c r="I27" s="179"/>
      <c r="J27" s="1072"/>
    </row>
    <row r="28" spans="1:10" ht="15.75">
      <c r="A28" s="1698"/>
      <c r="B28" s="1627"/>
      <c r="C28" s="1627"/>
      <c r="D28" s="1627"/>
      <c r="E28" s="1628"/>
      <c r="F28" s="179"/>
      <c r="G28" s="181"/>
      <c r="H28" s="1072">
        <v>20.2</v>
      </c>
      <c r="I28" s="180"/>
      <c r="J28" s="1072"/>
    </row>
    <row r="29" spans="1:10" ht="16.5" customHeight="1" thickBot="1">
      <c r="A29" s="1742"/>
      <c r="B29" s="1623"/>
      <c r="C29" s="1623"/>
      <c r="D29" s="1623"/>
      <c r="E29" s="1630"/>
      <c r="F29" s="179"/>
      <c r="G29" s="181"/>
      <c r="H29" s="1080">
        <v>0.06</v>
      </c>
      <c r="I29" s="1077">
        <f>H29*H28*H27*F27</f>
        <v>30.3</v>
      </c>
      <c r="J29" s="1072" t="s">
        <v>141</v>
      </c>
    </row>
    <row r="30" spans="1:10" ht="16.5" customHeight="1" thickTop="1">
      <c r="A30" s="1259"/>
      <c r="B30" s="1256"/>
      <c r="C30" s="1256"/>
      <c r="D30" s="1256"/>
      <c r="E30" s="1257"/>
      <c r="F30" s="179"/>
      <c r="G30" s="181"/>
      <c r="H30" s="1072"/>
      <c r="I30" s="1263"/>
      <c r="J30" s="1072"/>
    </row>
    <row r="31" spans="1:10" ht="16.5" customHeight="1">
      <c r="A31" s="1740" t="s">
        <v>1382</v>
      </c>
      <c r="B31" s="1641"/>
      <c r="C31" s="1641"/>
      <c r="D31" s="1641"/>
      <c r="E31" s="1741"/>
      <c r="F31" s="179"/>
      <c r="G31" s="180"/>
      <c r="H31" s="179"/>
      <c r="I31" s="179"/>
      <c r="J31" s="1072"/>
    </row>
    <row r="32" spans="1:10" ht="16.5" customHeight="1">
      <c r="A32" s="1740" t="s">
        <v>1373</v>
      </c>
      <c r="B32" s="1641"/>
      <c r="C32" s="1641"/>
      <c r="D32" s="1641"/>
      <c r="E32" s="1741"/>
      <c r="F32" s="179">
        <v>1</v>
      </c>
      <c r="G32" s="180"/>
      <c r="H32" s="179">
        <v>25</v>
      </c>
      <c r="I32" s="179"/>
      <c r="J32" s="1072"/>
    </row>
    <row r="33" spans="1:10" ht="16.5" customHeight="1">
      <c r="A33" s="1260"/>
      <c r="B33" s="1258"/>
      <c r="C33" s="1258"/>
      <c r="D33" s="1258"/>
      <c r="E33" s="1261"/>
      <c r="F33" s="179"/>
      <c r="G33" s="180"/>
      <c r="H33" s="179">
        <v>20.2</v>
      </c>
      <c r="I33" s="179"/>
      <c r="J33" s="1072"/>
    </row>
    <row r="34" spans="1:10" ht="16.5" customHeight="1" thickBot="1">
      <c r="A34" s="561"/>
      <c r="B34" s="198"/>
      <c r="C34" s="198"/>
      <c r="D34" s="198"/>
      <c r="E34" s="181"/>
      <c r="F34" s="179"/>
      <c r="G34" s="180"/>
      <c r="H34" s="174">
        <v>0.2</v>
      </c>
      <c r="I34" s="187">
        <f>H34*H33*H32*F32</f>
        <v>101</v>
      </c>
      <c r="J34" s="1072" t="s">
        <v>141</v>
      </c>
    </row>
    <row r="35" spans="1:10" ht="16.5" customHeight="1" thickTop="1">
      <c r="A35" s="561"/>
      <c r="B35" s="168"/>
      <c r="C35" s="168"/>
      <c r="D35" s="168"/>
      <c r="E35" s="168"/>
      <c r="F35" s="179"/>
      <c r="G35" s="180"/>
      <c r="H35" s="179"/>
      <c r="I35" s="179"/>
      <c r="J35" s="1072"/>
    </row>
    <row r="36" spans="1:10" ht="16.5" customHeight="1">
      <c r="A36" s="1740" t="s">
        <v>1374</v>
      </c>
      <c r="B36" s="1641"/>
      <c r="C36" s="1641"/>
      <c r="D36" s="1641"/>
      <c r="E36" s="1741"/>
      <c r="F36" s="179">
        <v>1</v>
      </c>
      <c r="G36" s="180"/>
      <c r="H36" s="179">
        <v>25</v>
      </c>
      <c r="I36" s="179"/>
      <c r="J36" s="1072"/>
    </row>
    <row r="37" spans="1:10" ht="16.5" customHeight="1">
      <c r="A37" s="1698"/>
      <c r="B37" s="1627"/>
      <c r="C37" s="1627"/>
      <c r="D37" s="1627"/>
      <c r="E37" s="1628"/>
      <c r="F37" s="179"/>
      <c r="G37" s="181"/>
      <c r="H37" s="1072">
        <v>20.2</v>
      </c>
      <c r="I37" s="180"/>
      <c r="J37" s="1072"/>
    </row>
    <row r="38" spans="1:10" ht="16.5" customHeight="1" thickBot="1">
      <c r="A38" s="1742"/>
      <c r="B38" s="1623"/>
      <c r="C38" s="1623"/>
      <c r="D38" s="1623"/>
      <c r="E38" s="1630"/>
      <c r="F38" s="179"/>
      <c r="G38" s="181"/>
      <c r="H38" s="1080">
        <v>0.06</v>
      </c>
      <c r="I38" s="1077">
        <f>H38*H37*H36*F36</f>
        <v>30.3</v>
      </c>
      <c r="J38" s="1072" t="s">
        <v>141</v>
      </c>
    </row>
    <row r="39" spans="1:10" ht="16.5" customHeight="1" thickTop="1">
      <c r="A39" s="1259"/>
      <c r="B39" s="1256"/>
      <c r="C39" s="1256"/>
      <c r="D39" s="1256"/>
      <c r="E39" s="1257"/>
      <c r="F39" s="179"/>
      <c r="G39" s="181"/>
      <c r="H39" s="1072"/>
      <c r="I39" s="1263"/>
      <c r="J39" s="1072"/>
    </row>
    <row r="40" spans="1:10" ht="16.5" customHeight="1">
      <c r="A40" s="1740" t="s">
        <v>1383</v>
      </c>
      <c r="B40" s="1641"/>
      <c r="C40" s="1641"/>
      <c r="D40" s="1641"/>
      <c r="E40" s="1741"/>
      <c r="F40" s="179"/>
      <c r="G40" s="180"/>
      <c r="H40" s="179"/>
      <c r="I40" s="179"/>
      <c r="J40" s="1072"/>
    </row>
    <row r="41" spans="1:10" ht="16.5" customHeight="1">
      <c r="A41" s="1740" t="s">
        <v>1373</v>
      </c>
      <c r="B41" s="1641"/>
      <c r="C41" s="1641"/>
      <c r="D41" s="1641"/>
      <c r="E41" s="1741"/>
      <c r="F41" s="179">
        <v>1</v>
      </c>
      <c r="G41" s="180"/>
      <c r="H41" s="179">
        <v>25</v>
      </c>
      <c r="I41" s="179"/>
      <c r="J41" s="1072"/>
    </row>
    <row r="42" spans="1:10" ht="16.5" customHeight="1">
      <c r="A42" s="1260"/>
      <c r="B42" s="1258"/>
      <c r="C42" s="1258"/>
      <c r="D42" s="1258"/>
      <c r="E42" s="1261"/>
      <c r="F42" s="179"/>
      <c r="G42" s="180"/>
      <c r="H42" s="179">
        <v>20.2</v>
      </c>
      <c r="I42" s="179"/>
      <c r="J42" s="1072"/>
    </row>
    <row r="43" spans="1:10" ht="16.5" customHeight="1" thickBot="1">
      <c r="A43" s="561"/>
      <c r="B43" s="198"/>
      <c r="C43" s="198"/>
      <c r="D43" s="198"/>
      <c r="E43" s="181"/>
      <c r="F43" s="179"/>
      <c r="G43" s="180"/>
      <c r="H43" s="174">
        <v>0.2</v>
      </c>
      <c r="I43" s="187">
        <f>H43*H42*H41*F41</f>
        <v>101</v>
      </c>
      <c r="J43" s="1072" t="s">
        <v>141</v>
      </c>
    </row>
    <row r="44" spans="1:10" ht="16.5" customHeight="1" thickTop="1">
      <c r="A44" s="561"/>
      <c r="B44" s="168"/>
      <c r="C44" s="168"/>
      <c r="D44" s="168"/>
      <c r="E44" s="168"/>
      <c r="F44" s="179"/>
      <c r="G44" s="180"/>
      <c r="H44" s="179"/>
      <c r="I44" s="179"/>
      <c r="J44" s="1072"/>
    </row>
    <row r="45" spans="1:10" ht="16.5" customHeight="1">
      <c r="A45" s="1740" t="s">
        <v>1374</v>
      </c>
      <c r="B45" s="1641"/>
      <c r="C45" s="1641"/>
      <c r="D45" s="1641"/>
      <c r="E45" s="1741"/>
      <c r="F45" s="179">
        <v>1</v>
      </c>
      <c r="G45" s="180"/>
      <c r="H45" s="179">
        <v>25</v>
      </c>
      <c r="I45" s="179"/>
      <c r="J45" s="1072"/>
    </row>
    <row r="46" spans="1:10" ht="16.5" customHeight="1">
      <c r="A46" s="1698"/>
      <c r="B46" s="1627"/>
      <c r="C46" s="1627"/>
      <c r="D46" s="1627"/>
      <c r="E46" s="1628"/>
      <c r="F46" s="179"/>
      <c r="G46" s="181"/>
      <c r="H46" s="1072">
        <v>20.2</v>
      </c>
      <c r="I46" s="180"/>
      <c r="J46" s="1072"/>
    </row>
    <row r="47" spans="1:10" ht="16.5" customHeight="1" thickBot="1">
      <c r="A47" s="1742"/>
      <c r="B47" s="1623"/>
      <c r="C47" s="1623"/>
      <c r="D47" s="1623"/>
      <c r="E47" s="1630"/>
      <c r="F47" s="179"/>
      <c r="G47" s="181"/>
      <c r="H47" s="1080">
        <v>0.06</v>
      </c>
      <c r="I47" s="1077">
        <f>H47*H46*H45*F45</f>
        <v>30.3</v>
      </c>
      <c r="J47" s="1072" t="s">
        <v>141</v>
      </c>
    </row>
    <row r="48" spans="1:10" ht="16.5" customHeight="1" thickTop="1">
      <c r="A48" s="1259"/>
      <c r="B48" s="1256"/>
      <c r="C48" s="1256"/>
      <c r="D48" s="1256"/>
      <c r="E48" s="1257"/>
      <c r="F48" s="179"/>
      <c r="G48" s="181"/>
      <c r="H48" s="1072"/>
      <c r="I48" s="1263"/>
      <c r="J48" s="1072"/>
    </row>
    <row r="49" spans="1:12" ht="16.5" customHeight="1">
      <c r="A49" s="1259"/>
      <c r="B49" s="1256"/>
      <c r="C49" s="1256"/>
      <c r="D49" s="1256"/>
      <c r="E49" s="1257"/>
      <c r="F49" s="179"/>
      <c r="G49" s="181"/>
      <c r="H49" s="1072"/>
      <c r="I49" s="1263"/>
      <c r="J49" s="1072"/>
    </row>
    <row r="50" spans="1:12" ht="16.5" customHeight="1">
      <c r="A50" s="1259"/>
      <c r="B50" s="1256"/>
      <c r="C50" s="1256"/>
      <c r="D50" s="1256"/>
      <c r="E50" s="1257"/>
      <c r="F50" s="179"/>
      <c r="G50" s="181"/>
      <c r="H50" s="1072"/>
      <c r="I50" s="1263"/>
      <c r="J50" s="1072"/>
    </row>
    <row r="51" spans="1:12" ht="16.5" customHeight="1">
      <c r="A51" s="1259"/>
      <c r="B51" s="1256"/>
      <c r="C51" s="1256"/>
      <c r="D51" s="1256"/>
      <c r="E51" s="1257"/>
      <c r="F51" s="179"/>
      <c r="G51" s="181"/>
      <c r="H51" s="1072"/>
      <c r="I51" s="1263"/>
      <c r="J51" s="1072"/>
    </row>
    <row r="52" spans="1:12" ht="16.5" customHeight="1">
      <c r="A52" s="1259"/>
      <c r="B52" s="1256"/>
      <c r="C52" s="1256"/>
      <c r="D52" s="1256"/>
      <c r="E52" s="1257"/>
      <c r="F52" s="179"/>
      <c r="G52" s="181"/>
      <c r="H52" s="1072"/>
      <c r="I52" s="1263"/>
      <c r="J52" s="1072"/>
    </row>
    <row r="53" spans="1:12" ht="16.5" customHeight="1">
      <c r="A53" s="1259"/>
      <c r="B53" s="1256"/>
      <c r="C53" s="1256"/>
      <c r="D53" s="1256"/>
      <c r="E53" s="1257"/>
      <c r="F53" s="179"/>
      <c r="G53" s="181"/>
      <c r="H53" s="1072"/>
      <c r="I53" s="1263"/>
      <c r="J53" s="1072"/>
    </row>
    <row r="54" spans="1:12" ht="16.5" customHeight="1">
      <c r="A54" s="1259"/>
      <c r="B54" s="1256"/>
      <c r="C54" s="1256"/>
      <c r="D54" s="1256"/>
      <c r="E54" s="1257"/>
      <c r="F54" s="179"/>
      <c r="G54" s="181"/>
      <c r="H54" s="1072"/>
      <c r="I54" s="1263"/>
      <c r="J54" s="1072"/>
    </row>
    <row r="55" spans="1:12">
      <c r="A55" s="561"/>
      <c r="B55" s="1599"/>
      <c r="C55" s="1599"/>
      <c r="D55" s="1599"/>
      <c r="E55" s="1600"/>
      <c r="F55" s="179"/>
      <c r="G55" s="181"/>
      <c r="H55" s="1072"/>
      <c r="I55" s="180"/>
      <c r="J55" s="1072"/>
    </row>
    <row r="56" spans="1:12" ht="15.75" thickBot="1">
      <c r="A56" s="565"/>
      <c r="B56" s="204"/>
      <c r="C56" s="204"/>
      <c r="D56" s="204"/>
      <c r="E56" s="195"/>
      <c r="F56" s="199"/>
      <c r="G56" s="195"/>
      <c r="H56" s="199"/>
      <c r="I56" s="187"/>
      <c r="J56" s="1080"/>
      <c r="L56" s="4"/>
    </row>
    <row r="57" spans="1:12" ht="15.75" thickTop="1">
      <c r="A57" s="564"/>
      <c r="B57" s="180"/>
      <c r="C57" s="180"/>
      <c r="D57" s="180"/>
      <c r="E57" s="180"/>
      <c r="F57" s="180"/>
      <c r="G57" s="180"/>
      <c r="H57" s="180"/>
      <c r="I57" s="180"/>
      <c r="J57" s="559"/>
    </row>
    <row r="58" spans="1:12">
      <c r="A58" s="543"/>
      <c r="B58" s="189" t="s">
        <v>10</v>
      </c>
      <c r="C58" s="189" t="s">
        <v>18</v>
      </c>
      <c r="D58" s="190" t="s">
        <v>19</v>
      </c>
      <c r="E58" s="191"/>
      <c r="F58" s="191"/>
      <c r="G58" s="191"/>
      <c r="H58" s="191"/>
      <c r="I58" s="191"/>
      <c r="J58" s="566"/>
    </row>
    <row r="59" spans="1:12">
      <c r="A59" s="544" t="s">
        <v>15</v>
      </c>
      <c r="B59" s="188"/>
      <c r="C59" s="188"/>
      <c r="D59" s="194"/>
      <c r="E59" s="191"/>
      <c r="F59" s="191"/>
      <c r="G59" s="191"/>
      <c r="H59" s="191"/>
      <c r="I59" s="191"/>
      <c r="J59" s="566"/>
    </row>
    <row r="60" spans="1:12">
      <c r="A60" s="544" t="s">
        <v>16</v>
      </c>
      <c r="B60" s="194"/>
      <c r="C60" s="188"/>
      <c r="D60" s="194"/>
      <c r="E60" s="191"/>
      <c r="F60" s="191"/>
      <c r="G60" s="191"/>
      <c r="H60" s="191"/>
      <c r="I60" s="191"/>
      <c r="J60" s="566"/>
    </row>
  </sheetData>
  <mergeCells count="28">
    <mergeCell ref="A22:E22"/>
    <mergeCell ref="A23:E23"/>
    <mergeCell ref="A2:B2"/>
    <mergeCell ref="C2:E3"/>
    <mergeCell ref="F3:G3"/>
    <mergeCell ref="A10:E10"/>
    <mergeCell ref="A11:E11"/>
    <mergeCell ref="A12:E12"/>
    <mergeCell ref="A21:E21"/>
    <mergeCell ref="A16:E16"/>
    <mergeCell ref="A17:E17"/>
    <mergeCell ref="A18:E18"/>
    <mergeCell ref="B19:E19"/>
    <mergeCell ref="B20:E20"/>
    <mergeCell ref="A27:E27"/>
    <mergeCell ref="A28:E28"/>
    <mergeCell ref="A29:E29"/>
    <mergeCell ref="B55:E55"/>
    <mergeCell ref="A31:E31"/>
    <mergeCell ref="A32:E32"/>
    <mergeCell ref="A36:E36"/>
    <mergeCell ref="A37:E37"/>
    <mergeCell ref="A38:E38"/>
    <mergeCell ref="A40:E40"/>
    <mergeCell ref="A41:E41"/>
    <mergeCell ref="A45:E45"/>
    <mergeCell ref="A46:E46"/>
    <mergeCell ref="A47:E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583"/>
  <sheetViews>
    <sheetView view="pageBreakPreview" topLeftCell="A172" zoomScale="110" zoomScaleSheetLayoutView="110" workbookViewId="0">
      <selection activeCell="J72" sqref="J72"/>
    </sheetView>
  </sheetViews>
  <sheetFormatPr defaultRowHeight="15"/>
  <cols>
    <col min="1" max="1" width="0.85546875" customWidth="1"/>
    <col min="2" max="2" width="17.28515625" customWidth="1"/>
    <col min="3" max="3" width="13.5703125" customWidth="1"/>
    <col min="4" max="4" width="10.140625" customWidth="1"/>
    <col min="7" max="10" width="7.140625" customWidth="1"/>
    <col min="11" max="11" width="10.42578125" customWidth="1"/>
    <col min="12" max="12" width="7.140625" customWidth="1"/>
  </cols>
  <sheetData>
    <row r="1" spans="2:12" ht="3" customHeight="1"/>
    <row r="2" spans="2:12" ht="20.25" customHeight="1">
      <c r="B2" s="1343" t="s">
        <v>0</v>
      </c>
      <c r="C2" s="1344"/>
      <c r="D2" s="1345" t="s">
        <v>4</v>
      </c>
      <c r="E2" s="1346"/>
      <c r="F2" s="1347"/>
      <c r="G2" s="9" t="s">
        <v>7</v>
      </c>
      <c r="H2" s="5"/>
      <c r="I2" s="3" t="s">
        <v>8</v>
      </c>
      <c r="J2" s="5"/>
      <c r="K2" s="3" t="s">
        <v>61</v>
      </c>
      <c r="L2" s="5"/>
    </row>
    <row r="3" spans="2:12" ht="20.25" customHeight="1">
      <c r="B3" s="2" t="s">
        <v>1</v>
      </c>
      <c r="C3" s="19"/>
      <c r="D3" s="1348"/>
      <c r="E3" s="1349"/>
      <c r="F3" s="1350"/>
      <c r="G3" s="1351">
        <v>1</v>
      </c>
      <c r="H3" s="1352"/>
      <c r="I3" s="1353"/>
      <c r="J3" s="1354"/>
      <c r="K3" s="1353">
        <v>1</v>
      </c>
      <c r="L3" s="1354"/>
    </row>
    <row r="4" spans="2:12" ht="18.75" customHeight="1">
      <c r="B4" s="18" t="s">
        <v>2</v>
      </c>
      <c r="C4" s="21"/>
      <c r="D4" s="3" t="s">
        <v>5</v>
      </c>
      <c r="E4" s="4"/>
      <c r="F4" s="5"/>
      <c r="G4" s="9" t="s">
        <v>9</v>
      </c>
      <c r="H4" s="4"/>
      <c r="I4" s="4"/>
      <c r="J4" s="4"/>
      <c r="K4" s="4"/>
      <c r="L4" s="5"/>
    </row>
    <row r="5" spans="2:12" ht="18.75" customHeight="1">
      <c r="B5" s="19" t="s">
        <v>57</v>
      </c>
      <c r="C5" s="22"/>
      <c r="D5" s="6"/>
      <c r="E5" s="8">
        <v>1</v>
      </c>
      <c r="F5" s="7"/>
      <c r="G5" s="11" t="s">
        <v>22</v>
      </c>
      <c r="H5" s="10"/>
      <c r="I5" s="10"/>
      <c r="J5" s="10"/>
      <c r="K5" s="10"/>
      <c r="L5" s="7"/>
    </row>
    <row r="6" spans="2:12" ht="18.75" customHeight="1">
      <c r="B6" s="1" t="s">
        <v>3</v>
      </c>
      <c r="C6" s="18"/>
      <c r="D6" s="9" t="s">
        <v>6</v>
      </c>
      <c r="E6" s="4"/>
      <c r="F6" s="5"/>
      <c r="G6" s="9" t="s">
        <v>10</v>
      </c>
      <c r="H6" s="4"/>
      <c r="I6" s="4"/>
      <c r="J6" s="4"/>
      <c r="K6" s="4"/>
      <c r="L6" s="5"/>
    </row>
    <row r="7" spans="2:12" ht="18.75" customHeight="1">
      <c r="B7" s="19">
        <v>3</v>
      </c>
      <c r="C7" s="22"/>
      <c r="D7" s="6"/>
      <c r="E7" s="10"/>
      <c r="F7" s="7"/>
      <c r="G7" s="12" t="s">
        <v>63</v>
      </c>
      <c r="H7" s="10"/>
      <c r="I7" s="10"/>
      <c r="J7" s="10"/>
      <c r="K7" s="10"/>
      <c r="L7" s="7"/>
    </row>
    <row r="9" spans="2:12">
      <c r="B9" s="13" t="s">
        <v>11</v>
      </c>
      <c r="C9" s="20"/>
      <c r="D9" s="4"/>
      <c r="E9" s="4"/>
      <c r="F9" s="5"/>
      <c r="G9" s="17" t="s">
        <v>12</v>
      </c>
      <c r="H9" s="5"/>
      <c r="I9" s="17" t="s">
        <v>13</v>
      </c>
      <c r="J9" s="5"/>
      <c r="K9" s="17" t="s">
        <v>14</v>
      </c>
      <c r="L9" s="5"/>
    </row>
    <row r="10" spans="2:12">
      <c r="B10" s="30" t="s">
        <v>62</v>
      </c>
      <c r="C10" s="31"/>
      <c r="D10" s="31"/>
      <c r="E10" s="15"/>
      <c r="F10" s="16"/>
      <c r="G10" s="14"/>
      <c r="H10" s="16"/>
      <c r="I10" s="14"/>
      <c r="J10" s="16"/>
      <c r="K10" s="14"/>
      <c r="L10" s="16"/>
    </row>
    <row r="11" spans="2:12">
      <c r="B11" s="30"/>
      <c r="C11" s="31" t="s">
        <v>58</v>
      </c>
      <c r="D11" s="31"/>
      <c r="E11" s="15"/>
      <c r="F11" s="16"/>
      <c r="G11" s="14"/>
      <c r="H11" s="16"/>
      <c r="I11" s="14"/>
      <c r="J11" s="16"/>
      <c r="K11" s="14"/>
      <c r="L11" s="16"/>
    </row>
    <row r="12" spans="2:12">
      <c r="B12" s="14"/>
      <c r="C12" s="15"/>
      <c r="D12" s="15"/>
      <c r="E12" s="15"/>
      <c r="F12" s="16"/>
      <c r="G12" s="14"/>
      <c r="H12" s="16"/>
      <c r="I12" s="14"/>
      <c r="J12" s="16"/>
      <c r="K12" s="14"/>
      <c r="L12" s="16"/>
    </row>
    <row r="13" spans="2:12">
      <c r="B13" s="14"/>
      <c r="C13" s="15"/>
      <c r="D13" s="15"/>
      <c r="E13" s="15"/>
      <c r="F13" s="16"/>
      <c r="G13" s="14"/>
      <c r="H13" s="16"/>
      <c r="I13" s="14"/>
      <c r="J13" s="16"/>
      <c r="K13" s="14"/>
      <c r="L13" s="16"/>
    </row>
    <row r="14" spans="2:12">
      <c r="B14" s="14"/>
      <c r="C14" s="15"/>
      <c r="D14" s="15"/>
      <c r="E14" s="15"/>
      <c r="F14" s="16"/>
      <c r="G14" s="14"/>
      <c r="H14" s="16"/>
      <c r="I14" s="14"/>
      <c r="J14" s="16"/>
      <c r="K14" s="14"/>
      <c r="L14" s="16"/>
    </row>
    <row r="15" spans="2:12">
      <c r="B15" s="14"/>
      <c r="C15" s="15"/>
      <c r="D15" s="15"/>
      <c r="E15" s="15"/>
      <c r="F15" s="16"/>
      <c r="G15" s="14"/>
      <c r="H15" s="16"/>
      <c r="I15" s="14"/>
      <c r="J15" s="16"/>
      <c r="K15" s="14"/>
      <c r="L15" s="16"/>
    </row>
    <row r="16" spans="2:12">
      <c r="B16" s="14"/>
      <c r="C16" s="15"/>
      <c r="D16" s="15"/>
      <c r="E16" s="15"/>
      <c r="F16" s="16"/>
      <c r="G16" s="14"/>
      <c r="H16" s="16"/>
      <c r="I16" s="14"/>
      <c r="J16" s="16"/>
      <c r="K16" s="14"/>
      <c r="L16" s="16"/>
    </row>
    <row r="17" spans="2:12">
      <c r="B17" s="14"/>
      <c r="C17" s="15"/>
      <c r="D17" s="15"/>
      <c r="E17" s="15"/>
      <c r="F17" s="16"/>
      <c r="G17" s="14"/>
      <c r="H17" s="16"/>
      <c r="I17" s="14"/>
      <c r="J17" s="16"/>
      <c r="K17" s="14"/>
      <c r="L17" s="16"/>
    </row>
    <row r="18" spans="2:12">
      <c r="B18" s="14"/>
      <c r="C18" s="15"/>
      <c r="D18" s="15"/>
      <c r="E18" s="15"/>
      <c r="F18" s="16"/>
      <c r="G18" s="14"/>
      <c r="H18" s="16"/>
      <c r="I18" s="14"/>
      <c r="J18" s="16"/>
      <c r="K18" s="14"/>
      <c r="L18" s="16"/>
    </row>
    <row r="19" spans="2:12">
      <c r="B19" s="14"/>
      <c r="C19" s="15"/>
      <c r="D19" s="15"/>
      <c r="E19" s="15"/>
      <c r="F19" s="16"/>
      <c r="G19" s="14"/>
      <c r="H19" s="16"/>
      <c r="I19" s="14"/>
      <c r="J19" s="16"/>
      <c r="K19" s="14"/>
      <c r="L19" s="16"/>
    </row>
    <row r="20" spans="2:12">
      <c r="B20" s="14"/>
      <c r="C20" s="15"/>
      <c r="D20" s="15"/>
      <c r="E20" s="15"/>
      <c r="F20" s="16"/>
      <c r="G20" s="14"/>
      <c r="H20" s="16"/>
      <c r="I20" s="14"/>
      <c r="J20" s="16"/>
      <c r="K20" s="14"/>
      <c r="L20" s="16"/>
    </row>
    <row r="21" spans="2:12">
      <c r="B21" s="14"/>
      <c r="C21" s="15"/>
      <c r="D21" s="15"/>
      <c r="E21" s="15"/>
      <c r="F21" s="16"/>
      <c r="G21" s="14"/>
      <c r="H21" s="16"/>
      <c r="I21" s="14"/>
      <c r="J21" s="16"/>
      <c r="K21" s="14"/>
      <c r="L21" s="16"/>
    </row>
    <row r="22" spans="2:12">
      <c r="B22" s="14"/>
      <c r="C22" s="15"/>
      <c r="D22" s="15"/>
      <c r="E22" s="15"/>
      <c r="F22" s="16"/>
      <c r="G22" s="14"/>
      <c r="H22" s="16"/>
      <c r="I22" s="14"/>
      <c r="J22" s="16"/>
      <c r="K22" s="14"/>
      <c r="L22" s="16"/>
    </row>
    <row r="23" spans="2:12">
      <c r="B23" s="14"/>
      <c r="C23" s="15"/>
      <c r="D23" s="15"/>
      <c r="E23" s="15"/>
      <c r="F23" s="16"/>
      <c r="G23" s="14"/>
      <c r="H23" s="16"/>
      <c r="I23" s="14"/>
      <c r="J23" s="16"/>
      <c r="K23" s="14"/>
      <c r="L23" s="16"/>
    </row>
    <row r="24" spans="2:12">
      <c r="B24" s="14"/>
      <c r="C24" s="15"/>
      <c r="D24" s="15"/>
      <c r="E24" s="15"/>
      <c r="F24" s="16"/>
      <c r="G24" s="14"/>
      <c r="H24" s="16"/>
      <c r="I24" s="14"/>
      <c r="J24" s="16"/>
      <c r="K24" s="14"/>
      <c r="L24" s="16"/>
    </row>
    <row r="25" spans="2:12">
      <c r="B25" s="14"/>
      <c r="C25" s="15"/>
      <c r="D25" s="15"/>
      <c r="E25" s="15"/>
      <c r="F25" s="16"/>
      <c r="G25" s="14"/>
      <c r="H25" s="16"/>
      <c r="I25" s="14"/>
      <c r="J25" s="16"/>
      <c r="K25" s="14"/>
      <c r="L25" s="16"/>
    </row>
    <row r="26" spans="2:12">
      <c r="B26" s="14"/>
      <c r="C26" s="15"/>
      <c r="D26" s="15"/>
      <c r="E26" s="15"/>
      <c r="F26" s="16"/>
      <c r="G26" s="14"/>
      <c r="H26" s="16"/>
      <c r="I26" s="14"/>
      <c r="J26" s="16"/>
      <c r="K26" s="14"/>
      <c r="L26" s="16"/>
    </row>
    <row r="27" spans="2:12">
      <c r="B27" s="14"/>
      <c r="C27" s="15"/>
      <c r="D27" s="15"/>
      <c r="E27" s="15"/>
      <c r="F27" s="16"/>
      <c r="G27" s="14"/>
      <c r="H27" s="16"/>
      <c r="I27" s="14"/>
      <c r="J27" s="16"/>
      <c r="K27" s="14"/>
      <c r="L27" s="16"/>
    </row>
    <row r="28" spans="2:12">
      <c r="B28" s="14"/>
      <c r="C28" s="15"/>
      <c r="D28" s="15"/>
      <c r="E28" s="15"/>
      <c r="F28" s="16"/>
      <c r="G28" s="14"/>
      <c r="H28" s="16"/>
      <c r="I28" s="14"/>
      <c r="J28" s="16"/>
      <c r="K28" s="14"/>
      <c r="L28" s="16"/>
    </row>
    <row r="29" spans="2:12">
      <c r="B29" s="14"/>
      <c r="C29" s="15"/>
      <c r="D29" s="15"/>
      <c r="E29" s="15"/>
      <c r="F29" s="16"/>
      <c r="G29" s="14"/>
      <c r="H29" s="16"/>
      <c r="I29" s="14"/>
      <c r="J29" s="16"/>
      <c r="K29" s="14"/>
      <c r="L29" s="16"/>
    </row>
    <row r="30" spans="2:12">
      <c r="B30" s="14"/>
      <c r="C30" s="15"/>
      <c r="D30" s="15"/>
      <c r="E30" s="15"/>
      <c r="F30" s="16"/>
      <c r="G30" s="14"/>
      <c r="H30" s="16"/>
      <c r="I30" s="14"/>
      <c r="J30" s="16"/>
      <c r="K30" s="14"/>
      <c r="L30" s="16"/>
    </row>
    <row r="31" spans="2:12">
      <c r="B31" s="14"/>
      <c r="C31" s="15"/>
      <c r="D31" s="15"/>
      <c r="E31" s="15"/>
      <c r="F31" s="16"/>
      <c r="G31" s="14"/>
      <c r="H31" s="16"/>
      <c r="I31" s="14"/>
      <c r="J31" s="16"/>
      <c r="K31" s="14"/>
      <c r="L31" s="16"/>
    </row>
    <row r="32" spans="2:12">
      <c r="B32" s="14"/>
      <c r="C32" s="15"/>
      <c r="D32" s="15"/>
      <c r="E32" s="15"/>
      <c r="F32" s="16"/>
      <c r="G32" s="14"/>
      <c r="H32" s="16"/>
      <c r="I32" s="14"/>
      <c r="J32" s="16"/>
      <c r="K32" s="14"/>
      <c r="L32" s="16"/>
    </row>
    <row r="33" spans="2:12">
      <c r="B33" s="14"/>
      <c r="C33" s="15"/>
      <c r="D33" s="15"/>
      <c r="E33" s="15"/>
      <c r="F33" s="16"/>
      <c r="G33" s="14"/>
      <c r="H33" s="16"/>
      <c r="I33" s="14"/>
      <c r="J33" s="16"/>
      <c r="K33" s="14"/>
      <c r="L33" s="16"/>
    </row>
    <row r="34" spans="2:12">
      <c r="B34" s="14"/>
      <c r="C34" s="15"/>
      <c r="D34" s="15"/>
      <c r="E34" s="15"/>
      <c r="F34" s="16"/>
      <c r="G34" s="14"/>
      <c r="H34" s="16"/>
      <c r="I34" s="14"/>
      <c r="J34" s="16"/>
      <c r="K34" s="14"/>
      <c r="L34" s="16"/>
    </row>
    <row r="35" spans="2:12">
      <c r="B35" s="14"/>
      <c r="C35" s="15"/>
      <c r="D35" s="15"/>
      <c r="E35" s="15"/>
      <c r="F35" s="16"/>
      <c r="G35" s="14"/>
      <c r="H35" s="16"/>
      <c r="I35" s="14"/>
      <c r="J35" s="16"/>
      <c r="K35" s="14"/>
      <c r="L35" s="16"/>
    </row>
    <row r="36" spans="2:12">
      <c r="B36" s="14"/>
      <c r="C36" s="15"/>
      <c r="D36" s="15"/>
      <c r="E36" s="15"/>
      <c r="F36" s="16"/>
      <c r="G36" s="14"/>
      <c r="H36" s="16"/>
      <c r="I36" s="14"/>
      <c r="J36" s="16"/>
      <c r="K36" s="14"/>
      <c r="L36" s="16"/>
    </row>
    <row r="37" spans="2:12">
      <c r="B37" s="14"/>
      <c r="C37" s="15"/>
      <c r="D37" s="15"/>
      <c r="E37" s="15"/>
      <c r="F37" s="16"/>
      <c r="G37" s="14"/>
      <c r="H37" s="16"/>
      <c r="I37" s="14"/>
      <c r="J37" s="16"/>
      <c r="K37" s="14"/>
      <c r="L37" s="16"/>
    </row>
    <row r="38" spans="2:12">
      <c r="B38" s="14"/>
      <c r="C38" s="15"/>
      <c r="D38" s="15"/>
      <c r="E38" s="15"/>
      <c r="F38" s="16"/>
      <c r="G38" s="14"/>
      <c r="H38" s="16"/>
      <c r="I38" s="14"/>
      <c r="J38" s="16"/>
      <c r="K38" s="14"/>
      <c r="L38" s="16"/>
    </row>
    <row r="39" spans="2:12">
      <c r="B39" s="14"/>
      <c r="C39" s="15"/>
      <c r="D39" s="15"/>
      <c r="E39" s="15"/>
      <c r="F39" s="16"/>
      <c r="G39" s="14"/>
      <c r="H39" s="16"/>
      <c r="I39" s="14"/>
      <c r="J39" s="16"/>
      <c r="K39" s="14"/>
      <c r="L39" s="16"/>
    </row>
    <row r="40" spans="2:12">
      <c r="B40" s="14"/>
      <c r="C40" s="15"/>
      <c r="D40" s="15"/>
      <c r="E40" s="15"/>
      <c r="F40" s="16"/>
      <c r="G40" s="14"/>
      <c r="H40" s="16"/>
      <c r="I40" s="14"/>
      <c r="J40" s="16"/>
      <c r="K40" s="14"/>
      <c r="L40" s="16"/>
    </row>
    <row r="41" spans="2:12">
      <c r="B41" s="14"/>
      <c r="C41" s="15"/>
      <c r="D41" s="15"/>
      <c r="E41" s="15"/>
      <c r="F41" s="16"/>
      <c r="G41" s="14"/>
      <c r="H41" s="16"/>
      <c r="I41" s="14"/>
      <c r="J41" s="16"/>
      <c r="K41" s="14"/>
      <c r="L41" s="16"/>
    </row>
    <row r="42" spans="2:12">
      <c r="B42" s="14"/>
      <c r="C42" s="15"/>
      <c r="D42" s="15"/>
      <c r="E42" s="15"/>
      <c r="F42" s="16"/>
      <c r="G42" s="14"/>
      <c r="H42" s="16"/>
      <c r="I42" s="14"/>
      <c r="J42" s="16"/>
      <c r="K42" s="14"/>
      <c r="L42" s="16"/>
    </row>
    <row r="43" spans="2:12">
      <c r="B43" s="14"/>
      <c r="C43" s="15"/>
      <c r="D43" s="15"/>
      <c r="E43" s="15"/>
      <c r="F43" s="16"/>
      <c r="G43" s="14"/>
      <c r="H43" s="16"/>
      <c r="I43" s="14"/>
      <c r="J43" s="16"/>
      <c r="K43" s="14"/>
      <c r="L43" s="16"/>
    </row>
    <row r="44" spans="2:12">
      <c r="B44" s="14"/>
      <c r="C44" s="15"/>
      <c r="D44" s="15"/>
      <c r="E44" s="15"/>
      <c r="F44" s="16"/>
      <c r="G44" s="14"/>
      <c r="H44" s="16"/>
      <c r="I44" s="14"/>
      <c r="J44" s="16"/>
      <c r="K44" s="14"/>
      <c r="L44" s="16"/>
    </row>
    <row r="45" spans="2:12">
      <c r="B45" s="6"/>
      <c r="C45" s="10"/>
      <c r="D45" s="10"/>
      <c r="E45" s="10"/>
      <c r="F45" s="7"/>
      <c r="G45" s="6"/>
      <c r="H45" s="7"/>
      <c r="I45" s="6"/>
      <c r="J45" s="7"/>
      <c r="K45" s="6"/>
      <c r="L45" s="7"/>
    </row>
    <row r="47" spans="2:12">
      <c r="B47" s="23"/>
      <c r="C47" s="24" t="s">
        <v>10</v>
      </c>
      <c r="D47" s="24" t="s">
        <v>18</v>
      </c>
      <c r="E47" s="26" t="s">
        <v>19</v>
      </c>
      <c r="F47" s="27"/>
      <c r="G47" s="27"/>
      <c r="H47" s="27"/>
      <c r="I47" s="27"/>
      <c r="J47" s="27"/>
      <c r="K47" s="27"/>
      <c r="L47" s="28"/>
    </row>
    <row r="48" spans="2:12" ht="30.75" customHeight="1">
      <c r="B48" s="25" t="s">
        <v>15</v>
      </c>
      <c r="C48" s="23"/>
      <c r="D48" s="23"/>
      <c r="E48" s="29"/>
      <c r="F48" s="27"/>
      <c r="G48" s="27"/>
      <c r="H48" s="27"/>
      <c r="I48" s="27"/>
      <c r="J48" s="27"/>
      <c r="K48" s="27"/>
      <c r="L48" s="28"/>
    </row>
    <row r="49" spans="2:12" ht="30.75" customHeight="1">
      <c r="B49" s="25" t="s">
        <v>16</v>
      </c>
      <c r="C49" s="23"/>
      <c r="D49" s="23"/>
      <c r="E49" s="29"/>
      <c r="F49" s="27"/>
      <c r="G49" s="27"/>
      <c r="H49" s="27"/>
      <c r="I49" s="27"/>
      <c r="J49" s="27"/>
      <c r="K49" s="27"/>
      <c r="L49" s="28"/>
    </row>
    <row r="50" spans="2:12" ht="30.75" customHeight="1">
      <c r="B50" s="25" t="s">
        <v>17</v>
      </c>
      <c r="C50" s="23"/>
      <c r="D50" s="23"/>
      <c r="E50" s="29"/>
      <c r="F50" s="27"/>
      <c r="G50" s="27"/>
      <c r="H50" s="27"/>
      <c r="I50" s="27"/>
      <c r="J50" s="27"/>
      <c r="K50" s="27"/>
      <c r="L50" s="28"/>
    </row>
    <row r="57" spans="2:12">
      <c r="B57" s="1343" t="s">
        <v>0</v>
      </c>
      <c r="C57" s="1344"/>
      <c r="D57" s="1345" t="s">
        <v>4</v>
      </c>
      <c r="E57" s="1346"/>
      <c r="F57" s="1347"/>
      <c r="G57" s="9" t="s">
        <v>7</v>
      </c>
      <c r="H57" s="5"/>
      <c r="I57" s="3" t="s">
        <v>8</v>
      </c>
      <c r="J57" s="5"/>
      <c r="K57" s="3" t="s">
        <v>61</v>
      </c>
      <c r="L57" s="5"/>
    </row>
    <row r="58" spans="2:12">
      <c r="B58" s="2" t="s">
        <v>1</v>
      </c>
      <c r="C58" s="19"/>
      <c r="D58" s="1348"/>
      <c r="E58" s="1349"/>
      <c r="F58" s="1350"/>
      <c r="G58" s="1351">
        <v>1</v>
      </c>
      <c r="H58" s="1352"/>
      <c r="I58" s="1353"/>
      <c r="J58" s="1354"/>
      <c r="K58" s="1353">
        <v>2</v>
      </c>
      <c r="L58" s="1354"/>
    </row>
    <row r="59" spans="2:12">
      <c r="B59" s="18" t="s">
        <v>2</v>
      </c>
      <c r="C59" s="21"/>
      <c r="D59" s="3" t="s">
        <v>5</v>
      </c>
      <c r="E59" s="4"/>
      <c r="F59" s="5"/>
      <c r="G59" s="9" t="s">
        <v>9</v>
      </c>
      <c r="H59" s="4"/>
      <c r="I59" s="4"/>
      <c r="J59" s="4"/>
      <c r="K59" s="4"/>
      <c r="L59" s="5"/>
    </row>
    <row r="60" spans="2:12">
      <c r="B60" s="19" t="s">
        <v>57</v>
      </c>
      <c r="C60" s="22"/>
      <c r="D60" s="6"/>
      <c r="E60" s="8">
        <v>1</v>
      </c>
      <c r="F60" s="7"/>
      <c r="G60" s="11" t="s">
        <v>25</v>
      </c>
      <c r="H60" s="10"/>
      <c r="I60" s="10"/>
      <c r="J60" s="10"/>
      <c r="K60" s="10"/>
      <c r="L60" s="7"/>
    </row>
    <row r="61" spans="2:12">
      <c r="B61" s="1" t="s">
        <v>3</v>
      </c>
      <c r="C61" s="18"/>
      <c r="D61" s="9" t="s">
        <v>6</v>
      </c>
      <c r="E61" s="4"/>
      <c r="F61" s="5"/>
      <c r="G61" s="9" t="s">
        <v>10</v>
      </c>
      <c r="H61" s="4"/>
      <c r="I61" s="4"/>
      <c r="J61" s="4"/>
      <c r="K61" s="4"/>
      <c r="L61" s="5"/>
    </row>
    <row r="62" spans="2:12">
      <c r="B62" s="19">
        <v>6</v>
      </c>
      <c r="C62" s="22"/>
      <c r="D62" s="6"/>
      <c r="E62" s="10"/>
      <c r="F62" s="7"/>
      <c r="G62" s="12" t="s">
        <v>63</v>
      </c>
      <c r="H62" s="10"/>
      <c r="I62" s="10"/>
      <c r="J62" s="10"/>
      <c r="K62" s="10"/>
      <c r="L62" s="7"/>
    </row>
    <row r="64" spans="2:12">
      <c r="B64" s="13"/>
      <c r="C64" s="20"/>
      <c r="D64" s="4"/>
      <c r="E64" s="4"/>
      <c r="F64" s="5"/>
      <c r="G64" s="17" t="s">
        <v>12</v>
      </c>
      <c r="H64" s="5"/>
      <c r="I64" s="17" t="s">
        <v>13</v>
      </c>
      <c r="J64" s="5"/>
      <c r="K64" s="17" t="s">
        <v>14</v>
      </c>
      <c r="L64" s="5"/>
    </row>
    <row r="65" spans="2:12">
      <c r="B65" s="30" t="s">
        <v>64</v>
      </c>
      <c r="C65" s="31"/>
      <c r="D65" s="31"/>
      <c r="E65" s="15"/>
      <c r="F65" s="16"/>
      <c r="G65" s="14"/>
      <c r="H65" s="16"/>
      <c r="I65" s="14"/>
      <c r="J65" s="16"/>
      <c r="K65" s="14"/>
      <c r="L65" s="16"/>
    </row>
    <row r="66" spans="2:12">
      <c r="B66" s="14"/>
      <c r="C66" s="31" t="s">
        <v>58</v>
      </c>
      <c r="D66" s="31"/>
      <c r="E66" s="15"/>
      <c r="F66" s="16"/>
      <c r="G66" s="14"/>
      <c r="H66" s="16"/>
      <c r="I66" s="14"/>
      <c r="J66" s="16"/>
      <c r="K66" s="14"/>
      <c r="L66" s="16"/>
    </row>
    <row r="67" spans="2:12">
      <c r="B67" s="14"/>
      <c r="C67" s="15"/>
      <c r="D67" s="15"/>
      <c r="E67" s="15"/>
      <c r="F67" s="16"/>
      <c r="G67" s="14"/>
      <c r="H67" s="16"/>
      <c r="I67" s="14"/>
      <c r="J67" s="16"/>
      <c r="K67" s="14"/>
      <c r="L67" s="16"/>
    </row>
    <row r="68" spans="2:12">
      <c r="B68" s="14"/>
      <c r="C68" s="15"/>
      <c r="D68" s="15"/>
      <c r="E68" s="15"/>
      <c r="F68" s="16"/>
      <c r="G68" s="14"/>
      <c r="H68" s="16"/>
      <c r="I68" s="14"/>
      <c r="J68" s="16"/>
      <c r="K68" s="14"/>
      <c r="L68" s="16"/>
    </row>
    <row r="69" spans="2:12">
      <c r="B69" s="14"/>
      <c r="C69" s="15"/>
      <c r="D69" s="15"/>
      <c r="E69" s="15"/>
      <c r="F69" s="16"/>
      <c r="G69" s="14"/>
      <c r="H69" s="16"/>
      <c r="I69" s="14"/>
      <c r="J69" s="16"/>
      <c r="K69" s="14"/>
      <c r="L69" s="16"/>
    </row>
    <row r="70" spans="2:12">
      <c r="B70" s="14"/>
      <c r="C70" s="15"/>
      <c r="D70" s="15"/>
      <c r="E70" s="15"/>
      <c r="F70" s="16"/>
      <c r="G70" s="14"/>
      <c r="H70" s="16"/>
      <c r="I70" s="14"/>
      <c r="J70" s="16"/>
      <c r="K70" s="14"/>
      <c r="L70" s="16"/>
    </row>
    <row r="71" spans="2:12">
      <c r="B71" s="14"/>
      <c r="C71" s="15"/>
      <c r="D71" s="15"/>
      <c r="E71" s="15"/>
      <c r="F71" s="16"/>
      <c r="G71" s="14"/>
      <c r="H71" s="16"/>
      <c r="I71" s="14"/>
      <c r="J71" s="16"/>
      <c r="K71" s="14"/>
      <c r="L71" s="16"/>
    </row>
    <row r="72" spans="2:12">
      <c r="B72" s="14"/>
      <c r="C72" s="15"/>
      <c r="D72" s="15"/>
      <c r="E72" s="15"/>
      <c r="F72" s="16"/>
      <c r="G72" s="14"/>
      <c r="H72" s="16"/>
      <c r="I72" s="14"/>
      <c r="J72" s="16"/>
      <c r="K72" s="14"/>
      <c r="L72" s="16"/>
    </row>
    <row r="73" spans="2:12">
      <c r="B73" s="14"/>
      <c r="C73" s="15"/>
      <c r="D73" s="15"/>
      <c r="E73" s="15"/>
      <c r="F73" s="16"/>
      <c r="G73" s="14"/>
      <c r="H73" s="16"/>
      <c r="I73" s="14"/>
      <c r="J73" s="16"/>
      <c r="K73" s="14"/>
      <c r="L73" s="16"/>
    </row>
    <row r="74" spans="2:12">
      <c r="B74" s="14"/>
      <c r="C74" s="15"/>
      <c r="D74" s="15"/>
      <c r="E74" s="15"/>
      <c r="F74" s="16"/>
      <c r="G74" s="14"/>
      <c r="H74" s="16"/>
      <c r="I74" s="14"/>
      <c r="J74" s="16"/>
      <c r="K74" s="14"/>
      <c r="L74" s="16"/>
    </row>
    <row r="75" spans="2:12">
      <c r="B75" s="14"/>
      <c r="C75" s="15"/>
      <c r="D75" s="15"/>
      <c r="E75" s="15"/>
      <c r="F75" s="16"/>
      <c r="G75" s="14"/>
      <c r="H75" s="16"/>
      <c r="I75" s="14"/>
      <c r="J75" s="16"/>
      <c r="K75" s="14"/>
      <c r="L75" s="16"/>
    </row>
    <row r="76" spans="2:12">
      <c r="B76" s="14"/>
      <c r="C76" s="15"/>
      <c r="D76" s="15"/>
      <c r="E76" s="15"/>
      <c r="F76" s="16"/>
      <c r="G76" s="14"/>
      <c r="H76" s="16"/>
      <c r="I76" s="14"/>
      <c r="J76" s="16"/>
      <c r="K76" s="14"/>
      <c r="L76" s="16"/>
    </row>
    <row r="77" spans="2:12">
      <c r="B77" s="14"/>
      <c r="C77" s="15"/>
      <c r="D77" s="15"/>
      <c r="E77" s="15"/>
      <c r="F77" s="16"/>
      <c r="G77" s="14"/>
      <c r="H77" s="16"/>
      <c r="I77" s="14"/>
      <c r="J77" s="16"/>
      <c r="K77" s="14"/>
      <c r="L77" s="16"/>
    </row>
    <row r="78" spans="2:12">
      <c r="B78" s="14"/>
      <c r="C78" s="15"/>
      <c r="D78" s="15"/>
      <c r="E78" s="15"/>
      <c r="F78" s="16"/>
      <c r="G78" s="14"/>
      <c r="H78" s="16"/>
      <c r="I78" s="14"/>
      <c r="J78" s="16"/>
      <c r="K78" s="14"/>
      <c r="L78" s="16"/>
    </row>
    <row r="79" spans="2:12">
      <c r="B79" s="14"/>
      <c r="C79" s="15"/>
      <c r="D79" s="15"/>
      <c r="E79" s="15"/>
      <c r="F79" s="16"/>
      <c r="G79" s="14"/>
      <c r="H79" s="16"/>
      <c r="I79" s="14"/>
      <c r="J79" s="16"/>
      <c r="K79" s="14"/>
      <c r="L79" s="16"/>
    </row>
    <row r="80" spans="2:12">
      <c r="B80" s="14"/>
      <c r="C80" s="15"/>
      <c r="D80" s="15"/>
      <c r="E80" s="15"/>
      <c r="F80" s="16"/>
      <c r="G80" s="14"/>
      <c r="H80" s="16"/>
      <c r="I80" s="14"/>
      <c r="J80" s="16"/>
      <c r="K80" s="14"/>
      <c r="L80" s="16"/>
    </row>
    <row r="81" spans="2:12">
      <c r="B81" s="14"/>
      <c r="C81" s="15"/>
      <c r="D81" s="15"/>
      <c r="E81" s="15"/>
      <c r="F81" s="16"/>
      <c r="G81" s="14"/>
      <c r="H81" s="16"/>
      <c r="I81" s="14"/>
      <c r="J81" s="16"/>
      <c r="K81" s="14"/>
      <c r="L81" s="16"/>
    </row>
    <row r="82" spans="2:12">
      <c r="B82" s="14"/>
      <c r="C82" s="15"/>
      <c r="D82" s="15"/>
      <c r="E82" s="15"/>
      <c r="F82" s="16"/>
      <c r="G82" s="14"/>
      <c r="H82" s="16"/>
      <c r="I82" s="14"/>
      <c r="J82" s="16"/>
      <c r="K82" s="14"/>
      <c r="L82" s="16"/>
    </row>
    <row r="83" spans="2:12">
      <c r="B83" s="14"/>
      <c r="C83" s="15"/>
      <c r="D83" s="15"/>
      <c r="E83" s="15"/>
      <c r="F83" s="16"/>
      <c r="G83" s="14"/>
      <c r="H83" s="16"/>
      <c r="I83" s="14"/>
      <c r="J83" s="16"/>
      <c r="K83" s="14"/>
      <c r="L83" s="16"/>
    </row>
    <row r="84" spans="2:12">
      <c r="B84" s="14"/>
      <c r="C84" s="15"/>
      <c r="D84" s="15"/>
      <c r="E84" s="15"/>
      <c r="F84" s="16"/>
      <c r="G84" s="14"/>
      <c r="H84" s="16"/>
      <c r="I84" s="14"/>
      <c r="J84" s="16"/>
      <c r="K84" s="14"/>
      <c r="L84" s="16"/>
    </row>
    <row r="85" spans="2:12">
      <c r="B85" s="14"/>
      <c r="C85" s="15"/>
      <c r="D85" s="15"/>
      <c r="E85" s="15"/>
      <c r="F85" s="16"/>
      <c r="G85" s="14"/>
      <c r="H85" s="16"/>
      <c r="I85" s="14"/>
      <c r="J85" s="16"/>
      <c r="K85" s="14"/>
      <c r="L85" s="16"/>
    </row>
    <row r="86" spans="2:12">
      <c r="B86" s="14"/>
      <c r="C86" s="15"/>
      <c r="D86" s="15"/>
      <c r="E86" s="15"/>
      <c r="F86" s="16"/>
      <c r="G86" s="14"/>
      <c r="H86" s="16"/>
      <c r="I86" s="14"/>
      <c r="J86" s="16"/>
      <c r="K86" s="14"/>
      <c r="L86" s="16"/>
    </row>
    <row r="87" spans="2:12">
      <c r="B87" s="14"/>
      <c r="C87" s="15"/>
      <c r="D87" s="15"/>
      <c r="E87" s="15"/>
      <c r="F87" s="16"/>
      <c r="G87" s="14"/>
      <c r="H87" s="16"/>
      <c r="I87" s="14"/>
      <c r="J87" s="16"/>
      <c r="K87" s="14"/>
      <c r="L87" s="16"/>
    </row>
    <row r="88" spans="2:12">
      <c r="B88" s="14"/>
      <c r="C88" s="15"/>
      <c r="D88" s="15"/>
      <c r="E88" s="15"/>
      <c r="F88" s="16"/>
      <c r="G88" s="14"/>
      <c r="H88" s="16"/>
      <c r="I88" s="14"/>
      <c r="J88" s="16"/>
      <c r="K88" s="14"/>
      <c r="L88" s="16"/>
    </row>
    <row r="89" spans="2:12">
      <c r="B89" s="14"/>
      <c r="C89" s="15"/>
      <c r="D89" s="15"/>
      <c r="E89" s="15"/>
      <c r="F89" s="16"/>
      <c r="G89" s="14"/>
      <c r="H89" s="16"/>
      <c r="I89" s="14"/>
      <c r="J89" s="16"/>
      <c r="K89" s="14"/>
      <c r="L89" s="16"/>
    </row>
    <row r="90" spans="2:12">
      <c r="B90" s="14"/>
      <c r="C90" s="15"/>
      <c r="D90" s="15"/>
      <c r="E90" s="15"/>
      <c r="F90" s="16"/>
      <c r="G90" s="14"/>
      <c r="H90" s="16"/>
      <c r="I90" s="14"/>
      <c r="J90" s="16"/>
      <c r="K90" s="14"/>
      <c r="L90" s="16"/>
    </row>
    <row r="91" spans="2:12">
      <c r="B91" s="14"/>
      <c r="C91" s="15"/>
      <c r="D91" s="15"/>
      <c r="E91" s="15"/>
      <c r="F91" s="16"/>
      <c r="G91" s="14"/>
      <c r="H91" s="16"/>
      <c r="I91" s="14"/>
      <c r="J91" s="16"/>
      <c r="K91" s="14"/>
      <c r="L91" s="16"/>
    </row>
    <row r="92" spans="2:12">
      <c r="B92" s="14"/>
      <c r="C92" s="15"/>
      <c r="D92" s="15"/>
      <c r="E92" s="15"/>
      <c r="F92" s="16"/>
      <c r="G92" s="14"/>
      <c r="H92" s="16"/>
      <c r="I92" s="14"/>
      <c r="J92" s="16"/>
      <c r="K92" s="14"/>
      <c r="L92" s="16"/>
    </row>
    <row r="93" spans="2:12">
      <c r="B93" s="14"/>
      <c r="C93" s="15"/>
      <c r="D93" s="15"/>
      <c r="E93" s="15"/>
      <c r="F93" s="16"/>
      <c r="G93" s="14"/>
      <c r="H93" s="16"/>
      <c r="I93" s="14"/>
      <c r="J93" s="16"/>
      <c r="K93" s="14"/>
      <c r="L93" s="16"/>
    </row>
    <row r="94" spans="2:12">
      <c r="B94" s="14"/>
      <c r="C94" s="15"/>
      <c r="D94" s="15"/>
      <c r="E94" s="15"/>
      <c r="F94" s="16"/>
      <c r="G94" s="14"/>
      <c r="H94" s="16"/>
      <c r="I94" s="14"/>
      <c r="J94" s="16"/>
      <c r="K94" s="14"/>
      <c r="L94" s="16"/>
    </row>
    <row r="95" spans="2:12">
      <c r="B95" s="14"/>
      <c r="C95" s="15"/>
      <c r="D95" s="15"/>
      <c r="E95" s="15"/>
      <c r="F95" s="16"/>
      <c r="G95" s="14"/>
      <c r="H95" s="16"/>
      <c r="I95" s="14"/>
      <c r="J95" s="16"/>
      <c r="K95" s="14"/>
      <c r="L95" s="16"/>
    </row>
    <row r="96" spans="2:12">
      <c r="B96" s="14"/>
      <c r="C96" s="15"/>
      <c r="D96" s="15"/>
      <c r="E96" s="15"/>
      <c r="F96" s="16"/>
      <c r="G96" s="14"/>
      <c r="H96" s="16"/>
      <c r="I96" s="14"/>
      <c r="J96" s="16"/>
      <c r="K96" s="14"/>
      <c r="L96" s="16"/>
    </row>
    <row r="97" spans="2:12">
      <c r="B97" s="14"/>
      <c r="C97" s="15"/>
      <c r="D97" s="15"/>
      <c r="E97" s="15"/>
      <c r="F97" s="16"/>
      <c r="G97" s="14"/>
      <c r="H97" s="16"/>
      <c r="I97" s="14"/>
      <c r="J97" s="16"/>
      <c r="K97" s="14"/>
      <c r="L97" s="16"/>
    </row>
    <row r="98" spans="2:12">
      <c r="B98" s="14"/>
      <c r="C98" s="15"/>
      <c r="D98" s="15"/>
      <c r="E98" s="15"/>
      <c r="F98" s="16"/>
      <c r="G98" s="14"/>
      <c r="H98" s="16"/>
      <c r="I98" s="14"/>
      <c r="J98" s="16"/>
      <c r="K98" s="14"/>
      <c r="L98" s="16"/>
    </row>
    <row r="99" spans="2:12">
      <c r="B99" s="14"/>
      <c r="C99" s="15"/>
      <c r="D99" s="15"/>
      <c r="E99" s="15"/>
      <c r="F99" s="16"/>
      <c r="G99" s="14"/>
      <c r="H99" s="16"/>
      <c r="I99" s="14"/>
      <c r="J99" s="16"/>
      <c r="K99" s="14"/>
      <c r="L99" s="16"/>
    </row>
    <row r="100" spans="2:12">
      <c r="B100" s="14"/>
      <c r="C100" s="15"/>
      <c r="D100" s="15"/>
      <c r="E100" s="15"/>
      <c r="F100" s="16"/>
      <c r="G100" s="14"/>
      <c r="H100" s="16"/>
      <c r="I100" s="14"/>
      <c r="J100" s="16"/>
      <c r="K100" s="14"/>
      <c r="L100" s="16"/>
    </row>
    <row r="101" spans="2:12">
      <c r="B101" s="14"/>
      <c r="C101" s="15"/>
      <c r="D101" s="15"/>
      <c r="E101" s="15"/>
      <c r="F101" s="16"/>
      <c r="G101" s="14"/>
      <c r="H101" s="16"/>
      <c r="I101" s="14"/>
      <c r="J101" s="16"/>
      <c r="K101" s="14"/>
      <c r="L101" s="16"/>
    </row>
    <row r="102" spans="2:12">
      <c r="B102" s="6"/>
      <c r="C102" s="10"/>
      <c r="D102" s="10"/>
      <c r="E102" s="10"/>
      <c r="F102" s="7"/>
      <c r="G102" s="6"/>
      <c r="H102" s="7"/>
      <c r="I102" s="6"/>
      <c r="J102" s="7"/>
      <c r="K102" s="6"/>
      <c r="L102" s="7"/>
    </row>
    <row r="104" spans="2:12" ht="18.75" customHeight="1">
      <c r="B104" s="23"/>
      <c r="C104" s="24" t="s">
        <v>10</v>
      </c>
      <c r="D104" s="24" t="s">
        <v>18</v>
      </c>
      <c r="E104" s="26" t="s">
        <v>19</v>
      </c>
      <c r="F104" s="27"/>
      <c r="G104" s="27"/>
      <c r="H104" s="27"/>
      <c r="I104" s="27"/>
      <c r="J104" s="27"/>
      <c r="K104" s="27"/>
      <c r="L104" s="28"/>
    </row>
    <row r="105" spans="2:12" ht="27" customHeight="1">
      <c r="B105" s="25" t="s">
        <v>15</v>
      </c>
      <c r="C105" s="23"/>
      <c r="D105" s="23"/>
      <c r="E105" s="29"/>
      <c r="F105" s="27"/>
      <c r="G105" s="27"/>
      <c r="H105" s="27"/>
      <c r="I105" s="27"/>
      <c r="J105" s="27"/>
      <c r="K105" s="27"/>
      <c r="L105" s="28"/>
    </row>
    <row r="106" spans="2:12" ht="29.25" customHeight="1">
      <c r="B106" s="25" t="s">
        <v>16</v>
      </c>
      <c r="C106" s="23"/>
      <c r="D106" s="23"/>
      <c r="E106" s="29"/>
      <c r="F106" s="27"/>
      <c r="G106" s="27"/>
      <c r="H106" s="27"/>
      <c r="I106" s="27"/>
      <c r="J106" s="27"/>
      <c r="K106" s="27"/>
      <c r="L106" s="28"/>
    </row>
    <row r="107" spans="2:12" ht="29.25" customHeight="1">
      <c r="B107" s="25" t="s">
        <v>17</v>
      </c>
      <c r="C107" s="23"/>
      <c r="D107" s="23"/>
      <c r="E107" s="29"/>
      <c r="F107" s="27"/>
      <c r="G107" s="27"/>
      <c r="H107" s="27"/>
      <c r="I107" s="27"/>
      <c r="J107" s="27"/>
      <c r="K107" s="27"/>
      <c r="L107" s="28"/>
    </row>
    <row r="114" spans="2:12">
      <c r="B114" s="1343" t="s">
        <v>0</v>
      </c>
      <c r="C114" s="1344"/>
      <c r="D114" s="1345" t="s">
        <v>4</v>
      </c>
      <c r="E114" s="1346"/>
      <c r="F114" s="1347"/>
      <c r="G114" s="9" t="s">
        <v>7</v>
      </c>
      <c r="H114" s="5"/>
      <c r="I114" s="3" t="s">
        <v>8</v>
      </c>
      <c r="J114" s="5"/>
      <c r="K114" s="3" t="s">
        <v>61</v>
      </c>
      <c r="L114" s="5"/>
    </row>
    <row r="115" spans="2:12">
      <c r="B115" s="2" t="s">
        <v>1</v>
      </c>
      <c r="C115" s="19"/>
      <c r="D115" s="1348"/>
      <c r="E115" s="1349"/>
      <c r="F115" s="1350"/>
      <c r="G115" s="1351">
        <v>1</v>
      </c>
      <c r="H115" s="1352"/>
      <c r="I115" s="1353"/>
      <c r="J115" s="1354"/>
      <c r="K115" s="1353">
        <v>3</v>
      </c>
      <c r="L115" s="1354"/>
    </row>
    <row r="116" spans="2:12">
      <c r="B116" s="18" t="s">
        <v>2</v>
      </c>
      <c r="C116" s="21"/>
      <c r="D116" s="3" t="s">
        <v>5</v>
      </c>
      <c r="E116" s="4"/>
      <c r="F116" s="5"/>
      <c r="G116" s="9" t="s">
        <v>9</v>
      </c>
      <c r="H116" s="4"/>
      <c r="I116" s="4"/>
      <c r="J116" s="4"/>
      <c r="K116" s="4"/>
      <c r="L116" s="5"/>
    </row>
    <row r="117" spans="2:12">
      <c r="B117" s="19" t="s">
        <v>57</v>
      </c>
      <c r="C117" s="22"/>
      <c r="D117" s="6"/>
      <c r="E117" s="8">
        <v>1</v>
      </c>
      <c r="F117" s="7"/>
      <c r="G117" s="11" t="s">
        <v>22</v>
      </c>
      <c r="H117" s="10"/>
      <c r="I117" s="10"/>
      <c r="J117" s="10"/>
      <c r="K117" s="10"/>
      <c r="L117" s="7"/>
    </row>
    <row r="118" spans="2:12">
      <c r="B118" s="1" t="s">
        <v>3</v>
      </c>
      <c r="C118" s="18"/>
      <c r="D118" s="9" t="s">
        <v>6</v>
      </c>
      <c r="E118" s="4"/>
      <c r="F118" s="5"/>
      <c r="G118" s="9" t="s">
        <v>10</v>
      </c>
      <c r="H118" s="4"/>
      <c r="I118" s="4"/>
      <c r="J118" s="4"/>
      <c r="K118" s="4"/>
      <c r="L118" s="5"/>
    </row>
    <row r="119" spans="2:12">
      <c r="B119" s="19">
        <v>3</v>
      </c>
      <c r="C119" s="22"/>
      <c r="D119" s="6"/>
      <c r="E119" s="10"/>
      <c r="F119" s="7"/>
      <c r="G119" s="12" t="s">
        <v>63</v>
      </c>
      <c r="H119" s="10"/>
      <c r="I119" s="10"/>
      <c r="J119" s="10"/>
      <c r="K119" s="10"/>
      <c r="L119" s="7"/>
    </row>
    <row r="121" spans="2:12">
      <c r="B121" s="13" t="s">
        <v>11</v>
      </c>
      <c r="C121" s="20"/>
      <c r="D121" s="4"/>
      <c r="E121" s="4"/>
      <c r="F121" s="5"/>
      <c r="G121" s="17" t="s">
        <v>12</v>
      </c>
      <c r="H121" s="5"/>
      <c r="I121" s="17" t="s">
        <v>13</v>
      </c>
      <c r="J121" s="5"/>
      <c r="K121" s="17" t="s">
        <v>14</v>
      </c>
      <c r="L121" s="5"/>
    </row>
    <row r="122" spans="2:12">
      <c r="B122" s="14"/>
      <c r="C122" s="15"/>
      <c r="D122" s="15"/>
      <c r="E122" s="15"/>
      <c r="F122" s="16"/>
      <c r="G122" s="14"/>
      <c r="H122" s="16"/>
      <c r="I122" s="14"/>
      <c r="J122" s="16"/>
      <c r="K122" s="14"/>
      <c r="L122" s="16"/>
    </row>
    <row r="123" spans="2:12">
      <c r="B123" s="14" t="s">
        <v>65</v>
      </c>
      <c r="C123" s="15"/>
      <c r="D123" s="15"/>
      <c r="E123" s="15"/>
      <c r="F123" s="16"/>
      <c r="G123" s="14"/>
      <c r="H123" s="16"/>
      <c r="I123" s="14"/>
      <c r="J123" s="16"/>
      <c r="K123" s="14"/>
      <c r="L123" s="16"/>
    </row>
    <row r="124" spans="2:12">
      <c r="B124" s="14" t="s">
        <v>59</v>
      </c>
      <c r="C124" s="15"/>
      <c r="D124" s="15"/>
      <c r="E124" s="15"/>
      <c r="F124" s="16"/>
      <c r="G124" s="14"/>
      <c r="H124" s="16"/>
      <c r="I124" s="14"/>
      <c r="J124" s="16"/>
      <c r="K124" s="14"/>
      <c r="L124" s="16"/>
    </row>
    <row r="125" spans="2:12">
      <c r="B125" s="14"/>
      <c r="C125" s="15"/>
      <c r="D125" s="15"/>
      <c r="E125" s="15"/>
      <c r="F125" s="16"/>
      <c r="G125" s="14"/>
      <c r="H125" s="16"/>
      <c r="I125" s="14"/>
      <c r="J125" s="16"/>
      <c r="K125" s="14"/>
      <c r="L125" s="16"/>
    </row>
    <row r="126" spans="2:12">
      <c r="B126" s="14" t="s">
        <v>23</v>
      </c>
      <c r="C126" s="15">
        <v>532.79999999999995</v>
      </c>
      <c r="D126" s="15"/>
      <c r="E126" s="15"/>
      <c r="F126" s="16"/>
      <c r="G126" s="14"/>
      <c r="H126" s="16"/>
      <c r="I126" s="14"/>
      <c r="J126" s="16"/>
      <c r="K126" s="14"/>
      <c r="L126" s="16"/>
    </row>
    <row r="127" spans="2:12">
      <c r="B127" s="14"/>
      <c r="C127" s="15"/>
      <c r="D127" s="15"/>
      <c r="E127" s="15"/>
      <c r="F127" s="16"/>
      <c r="G127" s="14"/>
      <c r="H127" s="16"/>
      <c r="I127" s="14"/>
      <c r="J127" s="16"/>
      <c r="K127" s="14"/>
      <c r="L127" s="16"/>
    </row>
    <row r="128" spans="2:12">
      <c r="B128" s="14" t="s">
        <v>24</v>
      </c>
      <c r="C128" s="15">
        <v>366.49</v>
      </c>
      <c r="D128" s="15"/>
      <c r="E128" s="15"/>
      <c r="F128" s="16"/>
      <c r="G128" s="14"/>
      <c r="H128" s="16"/>
      <c r="I128" s="14"/>
      <c r="J128" s="16"/>
      <c r="K128" s="14"/>
      <c r="L128" s="16"/>
    </row>
    <row r="129" spans="2:12">
      <c r="B129" s="14"/>
      <c r="C129" s="15"/>
      <c r="D129" s="15"/>
      <c r="E129" s="15"/>
      <c r="F129" s="16"/>
      <c r="G129" s="14"/>
      <c r="H129" s="16"/>
      <c r="I129" s="14"/>
      <c r="J129" s="16"/>
      <c r="K129" s="14"/>
      <c r="L129" s="16"/>
    </row>
    <row r="130" spans="2:12">
      <c r="B130" s="14" t="s">
        <v>29</v>
      </c>
      <c r="C130" s="15"/>
      <c r="D130" s="15"/>
      <c r="E130" s="15"/>
      <c r="F130" s="16"/>
      <c r="G130" s="14"/>
      <c r="H130" s="16"/>
      <c r="I130" s="14"/>
      <c r="J130" s="16"/>
      <c r="K130" s="14"/>
      <c r="L130" s="16"/>
    </row>
    <row r="131" spans="2:12">
      <c r="B131" s="14"/>
      <c r="C131" s="15"/>
      <c r="D131" s="15"/>
      <c r="E131" s="15"/>
      <c r="F131" s="16"/>
      <c r="G131" s="14"/>
      <c r="H131" s="16"/>
      <c r="I131" s="14"/>
      <c r="J131" s="16"/>
      <c r="K131" s="14"/>
      <c r="L131" s="16"/>
    </row>
    <row r="132" spans="2:12">
      <c r="B132" s="14" t="s">
        <v>30</v>
      </c>
      <c r="C132" s="15"/>
      <c r="D132" s="15"/>
      <c r="E132" s="15"/>
      <c r="F132" s="16"/>
      <c r="G132" s="14"/>
      <c r="H132" s="16"/>
      <c r="I132" s="14"/>
      <c r="J132" s="16"/>
      <c r="K132" s="14"/>
      <c r="L132" s="16"/>
    </row>
    <row r="133" spans="2:12">
      <c r="B133" s="14"/>
      <c r="C133" s="15"/>
      <c r="D133" s="15"/>
      <c r="E133" s="15"/>
      <c r="F133" s="16"/>
      <c r="G133" s="14"/>
      <c r="H133" s="16"/>
      <c r="I133" s="14"/>
      <c r="J133" s="16"/>
      <c r="K133" s="14"/>
      <c r="L133" s="16"/>
    </row>
    <row r="134" spans="2:12">
      <c r="B134" s="14" t="s">
        <v>31</v>
      </c>
      <c r="C134" s="15"/>
      <c r="D134" s="15"/>
      <c r="E134" s="15"/>
      <c r="F134" s="16"/>
      <c r="G134" s="14"/>
      <c r="H134" s="16"/>
      <c r="I134" s="14"/>
      <c r="J134" s="16"/>
      <c r="K134" s="14">
        <v>447.06</v>
      </c>
      <c r="L134" s="16"/>
    </row>
    <row r="135" spans="2:12">
      <c r="B135" s="14"/>
      <c r="C135" s="15"/>
      <c r="D135" s="15"/>
      <c r="E135" s="15"/>
      <c r="F135" s="16"/>
      <c r="G135" s="14"/>
      <c r="H135" s="16"/>
      <c r="I135" s="14"/>
      <c r="J135" s="16"/>
      <c r="K135" s="14"/>
      <c r="L135" s="16"/>
    </row>
    <row r="136" spans="2:12">
      <c r="B136" s="14"/>
      <c r="C136" s="15"/>
      <c r="D136" s="15"/>
      <c r="E136" s="15"/>
      <c r="F136" s="16"/>
      <c r="G136" s="14"/>
      <c r="H136" s="16"/>
      <c r="I136" s="14"/>
      <c r="J136" s="16"/>
      <c r="K136" s="14"/>
      <c r="L136" s="16"/>
    </row>
    <row r="137" spans="2:12">
      <c r="B137" s="14"/>
      <c r="C137" s="15"/>
      <c r="D137" s="15"/>
      <c r="E137" s="15"/>
      <c r="F137" s="16"/>
      <c r="G137" s="14"/>
      <c r="H137" s="16"/>
      <c r="I137" s="14"/>
      <c r="J137" s="16"/>
      <c r="K137" s="14"/>
      <c r="L137" s="16"/>
    </row>
    <row r="138" spans="2:12">
      <c r="B138" s="14"/>
      <c r="C138" s="15"/>
      <c r="D138" s="15"/>
      <c r="E138" s="15"/>
      <c r="F138" s="16"/>
      <c r="G138" s="14"/>
      <c r="H138" s="16"/>
      <c r="I138" s="14"/>
      <c r="J138" s="16"/>
      <c r="K138" s="14"/>
      <c r="L138" s="16"/>
    </row>
    <row r="139" spans="2:12">
      <c r="B139" s="14"/>
      <c r="C139" s="15"/>
      <c r="D139" s="15"/>
      <c r="E139" s="15"/>
      <c r="F139" s="16"/>
      <c r="G139" s="14"/>
      <c r="H139" s="16"/>
      <c r="I139" s="14"/>
      <c r="J139" s="16"/>
      <c r="K139" s="14"/>
      <c r="L139" s="16"/>
    </row>
    <row r="140" spans="2:12">
      <c r="B140" s="14"/>
      <c r="C140" s="15"/>
      <c r="D140" s="15"/>
      <c r="E140" s="15"/>
      <c r="F140" s="16"/>
      <c r="G140" s="14"/>
      <c r="H140" s="16"/>
      <c r="I140" s="14"/>
      <c r="J140" s="16"/>
      <c r="K140" s="14"/>
      <c r="L140" s="16"/>
    </row>
    <row r="141" spans="2:12">
      <c r="B141" s="14"/>
      <c r="C141" s="15"/>
      <c r="D141" s="15"/>
      <c r="E141" s="15"/>
      <c r="F141" s="16"/>
      <c r="G141" s="14"/>
      <c r="H141" s="16"/>
      <c r="I141" s="14"/>
      <c r="J141" s="16"/>
      <c r="K141" s="14"/>
      <c r="L141" s="16"/>
    </row>
    <row r="142" spans="2:12">
      <c r="B142" s="14"/>
      <c r="C142" s="15"/>
      <c r="D142" s="15"/>
      <c r="E142" s="15"/>
      <c r="F142" s="16"/>
      <c r="G142" s="14"/>
      <c r="H142" s="16"/>
      <c r="I142" s="14"/>
      <c r="J142" s="16"/>
      <c r="K142" s="14"/>
      <c r="L142" s="16"/>
    </row>
    <row r="143" spans="2:12">
      <c r="B143" s="14"/>
      <c r="C143" s="15"/>
      <c r="D143" s="15"/>
      <c r="E143" s="15"/>
      <c r="F143" s="16"/>
      <c r="G143" s="14"/>
      <c r="H143" s="16"/>
      <c r="I143" s="14"/>
      <c r="J143" s="16"/>
      <c r="K143" s="14"/>
      <c r="L143" s="16"/>
    </row>
    <row r="144" spans="2:12">
      <c r="B144" s="14"/>
      <c r="C144" s="15"/>
      <c r="D144" s="15"/>
      <c r="E144" s="15"/>
      <c r="F144" s="16"/>
      <c r="G144" s="14"/>
      <c r="H144" s="16"/>
      <c r="I144" s="14"/>
      <c r="J144" s="16"/>
      <c r="K144" s="14"/>
      <c r="L144" s="16"/>
    </row>
    <row r="145" spans="2:12">
      <c r="B145" s="14"/>
      <c r="C145" s="15"/>
      <c r="D145" s="15"/>
      <c r="E145" s="15"/>
      <c r="F145" s="16"/>
      <c r="G145" s="14"/>
      <c r="H145" s="16"/>
      <c r="I145" s="14"/>
      <c r="J145" s="16"/>
      <c r="K145" s="14"/>
      <c r="L145" s="16"/>
    </row>
    <row r="146" spans="2:12">
      <c r="B146" s="14"/>
      <c r="C146" s="15"/>
      <c r="D146" s="15"/>
      <c r="E146" s="15"/>
      <c r="F146" s="16"/>
      <c r="G146" s="14"/>
      <c r="H146" s="16"/>
      <c r="I146" s="14"/>
      <c r="J146" s="16"/>
      <c r="K146" s="14"/>
      <c r="L146" s="16"/>
    </row>
    <row r="147" spans="2:12">
      <c r="B147" s="14"/>
      <c r="C147" s="15"/>
      <c r="D147" s="15"/>
      <c r="E147" s="15"/>
      <c r="F147" s="16"/>
      <c r="G147" s="14"/>
      <c r="H147" s="16"/>
      <c r="I147" s="14"/>
      <c r="J147" s="16"/>
      <c r="K147" s="14"/>
      <c r="L147" s="16"/>
    </row>
    <row r="148" spans="2:12">
      <c r="B148" s="14"/>
      <c r="C148" s="15"/>
      <c r="D148" s="15"/>
      <c r="E148" s="15"/>
      <c r="F148" s="16"/>
      <c r="G148" s="14"/>
      <c r="H148" s="16"/>
      <c r="I148" s="14"/>
      <c r="J148" s="16"/>
      <c r="K148" s="14"/>
      <c r="L148" s="16"/>
    </row>
    <row r="149" spans="2:12">
      <c r="B149" s="14"/>
      <c r="C149" s="15"/>
      <c r="D149" s="15"/>
      <c r="E149" s="15"/>
      <c r="F149" s="16"/>
      <c r="G149" s="14"/>
      <c r="H149" s="16"/>
      <c r="I149" s="14"/>
      <c r="J149" s="16"/>
      <c r="K149" s="14"/>
      <c r="L149" s="16"/>
    </row>
    <row r="150" spans="2:12">
      <c r="B150" s="14"/>
      <c r="C150" s="15"/>
      <c r="D150" s="15"/>
      <c r="E150" s="15"/>
      <c r="F150" s="16"/>
      <c r="G150" s="14"/>
      <c r="H150" s="16"/>
      <c r="I150" s="14"/>
      <c r="J150" s="16"/>
      <c r="K150" s="14"/>
      <c r="L150" s="16"/>
    </row>
    <row r="151" spans="2:12">
      <c r="B151" s="14"/>
      <c r="C151" s="15"/>
      <c r="D151" s="15"/>
      <c r="E151" s="15"/>
      <c r="F151" s="16"/>
      <c r="G151" s="14"/>
      <c r="H151" s="16"/>
      <c r="I151" s="14"/>
      <c r="J151" s="16"/>
      <c r="K151" s="14"/>
      <c r="L151" s="16"/>
    </row>
    <row r="152" spans="2:12">
      <c r="B152" s="14"/>
      <c r="C152" s="15"/>
      <c r="D152" s="15"/>
      <c r="E152" s="15"/>
      <c r="F152" s="16"/>
      <c r="G152" s="14"/>
      <c r="H152" s="16"/>
      <c r="I152" s="14"/>
      <c r="J152" s="16"/>
      <c r="K152" s="14"/>
      <c r="L152" s="16"/>
    </row>
    <row r="153" spans="2:12">
      <c r="B153" s="14"/>
      <c r="C153" s="15"/>
      <c r="D153" s="15"/>
      <c r="E153" s="15"/>
      <c r="F153" s="16"/>
      <c r="G153" s="14"/>
      <c r="H153" s="16"/>
      <c r="I153" s="14"/>
      <c r="J153" s="16"/>
      <c r="K153" s="14"/>
      <c r="L153" s="16"/>
    </row>
    <row r="154" spans="2:12">
      <c r="B154" s="14"/>
      <c r="C154" s="15"/>
      <c r="D154" s="15"/>
      <c r="E154" s="15"/>
      <c r="F154" s="16"/>
      <c r="G154" s="14"/>
      <c r="H154" s="16"/>
      <c r="I154" s="14"/>
      <c r="J154" s="16"/>
      <c r="K154" s="14"/>
      <c r="L154" s="16"/>
    </row>
    <row r="155" spans="2:12">
      <c r="B155" s="14"/>
      <c r="C155" s="15"/>
      <c r="D155" s="15"/>
      <c r="E155" s="15"/>
      <c r="F155" s="16"/>
      <c r="G155" s="14"/>
      <c r="H155" s="16"/>
      <c r="I155" s="14"/>
      <c r="J155" s="16"/>
      <c r="K155" s="14"/>
      <c r="L155" s="16"/>
    </row>
    <row r="156" spans="2:12">
      <c r="B156" s="14"/>
      <c r="C156" s="15"/>
      <c r="D156" s="15"/>
      <c r="E156" s="15"/>
      <c r="F156" s="16"/>
      <c r="G156" s="14"/>
      <c r="H156" s="16"/>
      <c r="I156" s="14"/>
      <c r="J156" s="16"/>
      <c r="K156" s="14"/>
      <c r="L156" s="16"/>
    </row>
    <row r="157" spans="2:12">
      <c r="B157" s="14"/>
      <c r="C157" s="15"/>
      <c r="D157" s="15"/>
      <c r="E157" s="15"/>
      <c r="F157" s="16"/>
      <c r="G157" s="14"/>
      <c r="H157" s="16"/>
      <c r="I157" s="14"/>
      <c r="J157" s="16"/>
      <c r="K157" s="14"/>
      <c r="L157" s="16"/>
    </row>
    <row r="158" spans="2:12">
      <c r="B158" s="14"/>
      <c r="C158" s="15"/>
      <c r="D158" s="15"/>
      <c r="E158" s="15"/>
      <c r="F158" s="16"/>
      <c r="G158" s="14"/>
      <c r="H158" s="16"/>
      <c r="I158" s="14"/>
      <c r="J158" s="16"/>
      <c r="K158" s="14"/>
      <c r="L158" s="16"/>
    </row>
    <row r="159" spans="2:12">
      <c r="B159" s="14"/>
      <c r="C159" s="15"/>
      <c r="D159" s="15"/>
      <c r="E159" s="15"/>
      <c r="F159" s="16"/>
      <c r="G159" s="14"/>
      <c r="H159" s="16"/>
      <c r="I159" s="14"/>
      <c r="J159" s="16"/>
      <c r="K159" s="14"/>
      <c r="L159" s="16"/>
    </row>
    <row r="160" spans="2:12">
      <c r="B160" s="14"/>
      <c r="C160" s="15"/>
      <c r="D160" s="15"/>
      <c r="E160" s="15"/>
      <c r="F160" s="16"/>
      <c r="G160" s="14"/>
      <c r="H160" s="16"/>
      <c r="I160" s="14"/>
      <c r="J160" s="16"/>
      <c r="K160" s="14"/>
      <c r="L160" s="16"/>
    </row>
    <row r="161" spans="2:12">
      <c r="B161" s="6"/>
      <c r="C161" s="10"/>
      <c r="D161" s="10"/>
      <c r="E161" s="10"/>
      <c r="F161" s="7"/>
      <c r="G161" s="6"/>
      <c r="H161" s="7"/>
      <c r="I161" s="6"/>
      <c r="J161" s="7"/>
      <c r="K161" s="6"/>
      <c r="L161" s="7"/>
    </row>
    <row r="163" spans="2:12">
      <c r="B163" s="23"/>
      <c r="C163" s="24" t="s">
        <v>10</v>
      </c>
      <c r="D163" s="24" t="s">
        <v>18</v>
      </c>
      <c r="E163" s="26" t="s">
        <v>19</v>
      </c>
      <c r="F163" s="27"/>
      <c r="G163" s="27"/>
      <c r="H163" s="27"/>
      <c r="I163" s="27"/>
      <c r="J163" s="27"/>
      <c r="K163" s="27"/>
      <c r="L163" s="28"/>
    </row>
    <row r="164" spans="2:12">
      <c r="B164" s="25" t="s">
        <v>15</v>
      </c>
      <c r="C164" s="23"/>
      <c r="D164" s="23"/>
      <c r="E164" s="29"/>
      <c r="F164" s="27"/>
      <c r="G164" s="27"/>
      <c r="H164" s="27"/>
      <c r="I164" s="27"/>
      <c r="J164" s="27"/>
      <c r="K164" s="27"/>
      <c r="L164" s="28"/>
    </row>
    <row r="165" spans="2:12">
      <c r="B165" s="25" t="s">
        <v>16</v>
      </c>
      <c r="C165" s="23"/>
      <c r="D165" s="23"/>
      <c r="E165" s="29"/>
      <c r="F165" s="27"/>
      <c r="G165" s="27"/>
      <c r="H165" s="27"/>
      <c r="I165" s="27"/>
      <c r="J165" s="27"/>
      <c r="K165" s="27"/>
      <c r="L165" s="28"/>
    </row>
    <row r="166" spans="2:12">
      <c r="B166" s="25" t="s">
        <v>17</v>
      </c>
      <c r="C166" s="23"/>
      <c r="D166" s="23"/>
      <c r="E166" s="29"/>
      <c r="F166" s="27"/>
      <c r="G166" s="27"/>
      <c r="H166" s="27"/>
      <c r="I166" s="27"/>
      <c r="J166" s="27"/>
      <c r="K166" s="27"/>
      <c r="L166" s="28"/>
    </row>
    <row r="173" spans="2:12">
      <c r="B173" s="1343" t="s">
        <v>0</v>
      </c>
      <c r="C173" s="1344"/>
      <c r="D173" s="1345" t="s">
        <v>4</v>
      </c>
      <c r="E173" s="1346"/>
      <c r="F173" s="1347"/>
      <c r="G173" s="9" t="s">
        <v>7</v>
      </c>
      <c r="H173" s="5"/>
      <c r="I173" s="3" t="s">
        <v>8</v>
      </c>
      <c r="J173" s="5"/>
      <c r="K173" s="3" t="s">
        <v>61</v>
      </c>
      <c r="L173" s="5"/>
    </row>
    <row r="174" spans="2:12">
      <c r="B174" s="2" t="s">
        <v>1</v>
      </c>
      <c r="C174" s="19"/>
      <c r="D174" s="1348"/>
      <c r="E174" s="1349"/>
      <c r="F174" s="1350"/>
      <c r="G174" s="1351">
        <v>1</v>
      </c>
      <c r="H174" s="1352"/>
      <c r="I174" s="1353"/>
      <c r="J174" s="1354"/>
      <c r="K174" s="1353">
        <v>4</v>
      </c>
      <c r="L174" s="1354"/>
    </row>
    <row r="175" spans="2:12">
      <c r="B175" s="18" t="s">
        <v>2</v>
      </c>
      <c r="C175" s="21"/>
      <c r="D175" s="3" t="s">
        <v>5</v>
      </c>
      <c r="E175" s="4"/>
      <c r="F175" s="5"/>
      <c r="G175" s="9" t="s">
        <v>9</v>
      </c>
      <c r="H175" s="4"/>
      <c r="I175" s="4"/>
      <c r="J175" s="4"/>
      <c r="K175" s="4"/>
      <c r="L175" s="5"/>
    </row>
    <row r="176" spans="2:12">
      <c r="B176" s="19" t="s">
        <v>57</v>
      </c>
      <c r="C176" s="22"/>
      <c r="D176" s="6"/>
      <c r="E176" s="8">
        <v>1</v>
      </c>
      <c r="F176" s="7"/>
      <c r="G176" s="11" t="s">
        <v>22</v>
      </c>
      <c r="H176" s="10"/>
      <c r="I176" s="10"/>
      <c r="J176" s="10"/>
      <c r="K176" s="10"/>
      <c r="L176" s="7"/>
    </row>
    <row r="177" spans="2:12">
      <c r="B177" s="1" t="s">
        <v>3</v>
      </c>
      <c r="C177" s="18"/>
      <c r="D177" s="9" t="s">
        <v>6</v>
      </c>
      <c r="E177" s="4"/>
      <c r="F177" s="5"/>
      <c r="G177" s="9" t="s">
        <v>10</v>
      </c>
      <c r="H177" s="4"/>
      <c r="I177" s="4"/>
      <c r="J177" s="4"/>
      <c r="K177" s="4"/>
      <c r="L177" s="5"/>
    </row>
    <row r="178" spans="2:12">
      <c r="B178" s="19">
        <v>3</v>
      </c>
      <c r="C178" s="22"/>
      <c r="D178" s="6"/>
      <c r="E178" s="10"/>
      <c r="F178" s="7"/>
      <c r="G178" s="12" t="s">
        <v>63</v>
      </c>
      <c r="H178" s="10"/>
      <c r="I178" s="10"/>
      <c r="J178" s="10"/>
      <c r="K178" s="10"/>
      <c r="L178" s="7"/>
    </row>
    <row r="180" spans="2:12">
      <c r="B180" s="13" t="s">
        <v>11</v>
      </c>
      <c r="C180" s="20"/>
      <c r="D180" s="4"/>
      <c r="E180" s="4"/>
      <c r="F180" s="5"/>
      <c r="G180" s="17" t="s">
        <v>12</v>
      </c>
      <c r="H180" s="5"/>
      <c r="I180" s="17" t="s">
        <v>13</v>
      </c>
      <c r="J180" s="5"/>
      <c r="K180" s="17" t="s">
        <v>14</v>
      </c>
      <c r="L180" s="5"/>
    </row>
    <row r="181" spans="2:12">
      <c r="B181" s="14"/>
      <c r="C181" s="15"/>
      <c r="D181" s="15"/>
      <c r="E181" s="15"/>
      <c r="F181" s="16"/>
      <c r="G181" s="14"/>
      <c r="H181" s="16"/>
      <c r="I181" s="14"/>
      <c r="J181" s="16"/>
      <c r="K181" s="14"/>
      <c r="L181" s="16"/>
    </row>
    <row r="182" spans="2:12">
      <c r="B182" s="14" t="s">
        <v>66</v>
      </c>
      <c r="C182" s="15"/>
      <c r="D182" s="15"/>
      <c r="E182" s="15"/>
      <c r="F182" s="16"/>
      <c r="G182" s="14"/>
      <c r="H182" s="16"/>
      <c r="I182" s="14"/>
      <c r="J182" s="16"/>
      <c r="K182" s="14"/>
      <c r="L182" s="16"/>
    </row>
    <row r="183" spans="2:12">
      <c r="B183" s="14" t="s">
        <v>21</v>
      </c>
      <c r="C183" s="15" t="s">
        <v>60</v>
      </c>
      <c r="D183" s="15"/>
      <c r="E183" s="15"/>
      <c r="F183" s="16"/>
      <c r="G183" s="14"/>
      <c r="H183" s="16"/>
      <c r="I183" s="14"/>
      <c r="J183" s="16"/>
      <c r="K183" s="14"/>
      <c r="L183" s="16"/>
    </row>
    <row r="184" spans="2:12">
      <c r="B184" s="14"/>
      <c r="C184" s="15"/>
      <c r="D184" s="15"/>
      <c r="E184" s="15"/>
      <c r="F184" s="16"/>
      <c r="G184" s="14"/>
      <c r="H184" s="16"/>
      <c r="I184" s="14"/>
      <c r="J184" s="16"/>
      <c r="K184" s="14"/>
      <c r="L184" s="16"/>
    </row>
    <row r="185" spans="2:12">
      <c r="B185" s="14" t="s">
        <v>32</v>
      </c>
      <c r="C185" s="15"/>
      <c r="D185" s="15"/>
      <c r="E185" s="15"/>
      <c r="F185" s="16"/>
      <c r="G185" s="14"/>
      <c r="H185" s="16"/>
      <c r="I185" s="14"/>
      <c r="J185" s="16"/>
      <c r="K185" s="14"/>
      <c r="L185" s="16"/>
    </row>
    <row r="186" spans="2:12">
      <c r="B186" s="14"/>
      <c r="C186" s="15"/>
      <c r="D186" s="15"/>
      <c r="E186" s="15"/>
      <c r="F186" s="16"/>
      <c r="G186" s="14"/>
      <c r="H186" s="16"/>
      <c r="I186" s="14"/>
      <c r="J186" s="16"/>
      <c r="K186" s="14"/>
      <c r="L186" s="16"/>
    </row>
    <row r="187" spans="2:12">
      <c r="B187" s="14" t="s">
        <v>33</v>
      </c>
      <c r="C187" s="15"/>
      <c r="D187" s="15"/>
      <c r="E187" s="15"/>
      <c r="F187" s="16"/>
      <c r="G187" s="14"/>
      <c r="H187" s="16"/>
      <c r="I187" s="14"/>
      <c r="J187" s="16"/>
      <c r="K187" s="14"/>
      <c r="L187" s="16"/>
    </row>
    <row r="188" spans="2:12">
      <c r="B188" s="14"/>
      <c r="C188" s="15"/>
      <c r="D188" s="15"/>
      <c r="E188" s="15"/>
      <c r="F188" s="16"/>
      <c r="G188" s="14"/>
      <c r="H188" s="16"/>
      <c r="I188" s="14"/>
      <c r="J188" s="16"/>
      <c r="K188" s="14"/>
      <c r="L188" s="16"/>
    </row>
    <row r="189" spans="2:12">
      <c r="B189" s="14" t="s">
        <v>29</v>
      </c>
      <c r="C189" s="15"/>
      <c r="D189" s="15"/>
      <c r="E189" s="15"/>
      <c r="F189" s="16"/>
      <c r="G189" s="14"/>
      <c r="H189" s="16"/>
      <c r="I189" s="14"/>
      <c r="J189" s="16"/>
      <c r="K189" s="14"/>
      <c r="L189" s="16"/>
    </row>
    <row r="190" spans="2:12">
      <c r="B190" s="14"/>
      <c r="C190" s="15"/>
      <c r="D190" s="15"/>
      <c r="E190" s="15"/>
      <c r="F190" s="16"/>
      <c r="G190" s="14"/>
      <c r="H190" s="16"/>
      <c r="I190" s="14"/>
      <c r="J190" s="16"/>
      <c r="K190" s="14"/>
      <c r="L190" s="16"/>
    </row>
    <row r="191" spans="2:12">
      <c r="B191" s="14" t="s">
        <v>34</v>
      </c>
      <c r="C191" s="15"/>
      <c r="D191" s="15"/>
      <c r="E191" s="15"/>
      <c r="F191" s="16"/>
      <c r="G191" s="14"/>
      <c r="H191" s="16"/>
      <c r="I191" s="14"/>
      <c r="J191" s="16"/>
      <c r="K191" s="14"/>
      <c r="L191" s="16"/>
    </row>
    <row r="192" spans="2:12">
      <c r="B192" s="14"/>
      <c r="C192" s="15"/>
      <c r="D192" s="15"/>
      <c r="E192" s="15"/>
      <c r="F192" s="16"/>
      <c r="G192" s="14"/>
      <c r="H192" s="16"/>
      <c r="I192" s="14"/>
      <c r="J192" s="16"/>
      <c r="K192" s="14"/>
      <c r="L192" s="16"/>
    </row>
    <row r="193" spans="2:12">
      <c r="B193" s="14" t="s">
        <v>35</v>
      </c>
      <c r="C193" s="15"/>
      <c r="D193" s="15"/>
      <c r="E193" s="15"/>
      <c r="F193" s="16"/>
      <c r="G193" s="14"/>
      <c r="H193" s="16"/>
      <c r="I193" s="14"/>
      <c r="J193" s="16"/>
      <c r="K193" s="14">
        <v>164.52</v>
      </c>
      <c r="L193" s="16"/>
    </row>
    <row r="194" spans="2:12">
      <c r="B194" s="14"/>
      <c r="C194" s="15"/>
      <c r="D194" s="15"/>
      <c r="E194" s="15"/>
      <c r="F194" s="16"/>
      <c r="G194" s="14"/>
      <c r="H194" s="16"/>
      <c r="I194" s="14"/>
      <c r="J194" s="16"/>
      <c r="K194" s="14"/>
      <c r="L194" s="16"/>
    </row>
    <row r="195" spans="2:12">
      <c r="B195" s="14"/>
      <c r="C195" s="15"/>
      <c r="D195" s="15"/>
      <c r="E195" s="15"/>
      <c r="F195" s="16"/>
      <c r="G195" s="14"/>
      <c r="H195" s="16"/>
      <c r="I195" s="14"/>
      <c r="J195" s="16"/>
      <c r="K195" s="14"/>
      <c r="L195" s="16"/>
    </row>
    <row r="196" spans="2:12">
      <c r="B196" s="14"/>
      <c r="C196" s="15"/>
      <c r="D196" s="15"/>
      <c r="E196" s="15"/>
      <c r="F196" s="16"/>
      <c r="G196" s="14"/>
      <c r="H196" s="16"/>
      <c r="I196" s="14"/>
      <c r="J196" s="16"/>
      <c r="K196" s="14"/>
      <c r="L196" s="16"/>
    </row>
    <row r="197" spans="2:12">
      <c r="B197" s="14"/>
      <c r="C197" s="15"/>
      <c r="D197" s="15"/>
      <c r="E197" s="15"/>
      <c r="F197" s="16"/>
      <c r="G197" s="14"/>
      <c r="H197" s="16"/>
      <c r="I197" s="14"/>
      <c r="J197" s="16"/>
      <c r="K197" s="14"/>
      <c r="L197" s="16"/>
    </row>
    <row r="198" spans="2:12">
      <c r="B198" s="14"/>
      <c r="C198" s="15"/>
      <c r="D198" s="15"/>
      <c r="E198" s="15"/>
      <c r="F198" s="16"/>
      <c r="G198" s="14"/>
      <c r="H198" s="16"/>
      <c r="I198" s="14"/>
      <c r="J198" s="16"/>
      <c r="K198" s="14"/>
      <c r="L198" s="16"/>
    </row>
    <row r="199" spans="2:12">
      <c r="B199" s="14"/>
      <c r="C199" s="15"/>
      <c r="D199" s="15"/>
      <c r="E199" s="15"/>
      <c r="F199" s="16"/>
      <c r="G199" s="14"/>
      <c r="H199" s="16"/>
      <c r="I199" s="14"/>
      <c r="J199" s="16"/>
      <c r="K199" s="14"/>
      <c r="L199" s="16"/>
    </row>
    <row r="200" spans="2:12">
      <c r="B200" s="14"/>
      <c r="C200" s="15"/>
      <c r="D200" s="15"/>
      <c r="E200" s="15"/>
      <c r="F200" s="16"/>
      <c r="G200" s="14"/>
      <c r="H200" s="16"/>
      <c r="I200" s="14"/>
      <c r="J200" s="16"/>
      <c r="K200" s="14"/>
      <c r="L200" s="16"/>
    </row>
    <row r="201" spans="2:12">
      <c r="B201" s="14"/>
      <c r="C201" s="15"/>
      <c r="D201" s="15"/>
      <c r="E201" s="15"/>
      <c r="F201" s="16"/>
      <c r="G201" s="14"/>
      <c r="H201" s="16"/>
      <c r="I201" s="14"/>
      <c r="J201" s="16"/>
      <c r="K201" s="14"/>
      <c r="L201" s="16"/>
    </row>
    <row r="202" spans="2:12">
      <c r="B202" s="14"/>
      <c r="C202" s="15"/>
      <c r="D202" s="15"/>
      <c r="E202" s="15"/>
      <c r="F202" s="16"/>
      <c r="G202" s="14"/>
      <c r="H202" s="16"/>
      <c r="I202" s="14"/>
      <c r="J202" s="16"/>
      <c r="K202" s="14"/>
      <c r="L202" s="16"/>
    </row>
    <row r="203" spans="2:12">
      <c r="B203" s="14"/>
      <c r="C203" s="15"/>
      <c r="D203" s="15"/>
      <c r="E203" s="15"/>
      <c r="F203" s="16"/>
      <c r="G203" s="14"/>
      <c r="H203" s="16"/>
      <c r="I203" s="14"/>
      <c r="J203" s="16"/>
      <c r="K203" s="14"/>
      <c r="L203" s="16"/>
    </row>
    <row r="204" spans="2:12">
      <c r="B204" s="14"/>
      <c r="C204" s="15"/>
      <c r="D204" s="15"/>
      <c r="E204" s="15"/>
      <c r="F204" s="16"/>
      <c r="G204" s="14"/>
      <c r="H204" s="16"/>
      <c r="I204" s="14"/>
      <c r="J204" s="16"/>
      <c r="K204" s="14"/>
      <c r="L204" s="16"/>
    </row>
    <row r="205" spans="2:12">
      <c r="B205" s="14"/>
      <c r="C205" s="15"/>
      <c r="D205" s="15"/>
      <c r="E205" s="15"/>
      <c r="F205" s="16"/>
      <c r="G205" s="14"/>
      <c r="H205" s="16"/>
      <c r="I205" s="14"/>
      <c r="J205" s="16"/>
      <c r="K205" s="14"/>
      <c r="L205" s="16"/>
    </row>
    <row r="206" spans="2:12">
      <c r="B206" s="14"/>
      <c r="C206" s="15"/>
      <c r="D206" s="15"/>
      <c r="E206" s="15"/>
      <c r="F206" s="16"/>
      <c r="G206" s="14"/>
      <c r="H206" s="16"/>
      <c r="I206" s="14"/>
      <c r="J206" s="16"/>
      <c r="K206" s="14"/>
      <c r="L206" s="16"/>
    </row>
    <row r="207" spans="2:12">
      <c r="B207" s="14"/>
      <c r="C207" s="15"/>
      <c r="D207" s="15"/>
      <c r="E207" s="15"/>
      <c r="F207" s="16"/>
      <c r="G207" s="14"/>
      <c r="H207" s="16"/>
      <c r="I207" s="14"/>
      <c r="J207" s="16"/>
      <c r="K207" s="14"/>
      <c r="L207" s="16"/>
    </row>
    <row r="208" spans="2:12">
      <c r="B208" s="14"/>
      <c r="C208" s="15"/>
      <c r="D208" s="15"/>
      <c r="E208" s="15"/>
      <c r="F208" s="16"/>
      <c r="G208" s="14"/>
      <c r="H208" s="16"/>
      <c r="I208" s="14"/>
      <c r="J208" s="16"/>
      <c r="K208" s="14"/>
      <c r="L208" s="16"/>
    </row>
    <row r="209" spans="2:12">
      <c r="B209" s="14"/>
      <c r="C209" s="15"/>
      <c r="D209" s="15"/>
      <c r="E209" s="15"/>
      <c r="F209" s="16"/>
      <c r="G209" s="14"/>
      <c r="H209" s="16"/>
      <c r="I209" s="14"/>
      <c r="J209" s="16"/>
      <c r="K209" s="14"/>
      <c r="L209" s="16"/>
    </row>
    <row r="210" spans="2:12">
      <c r="B210" s="14"/>
      <c r="C210" s="15"/>
      <c r="D210" s="15"/>
      <c r="E210" s="15"/>
      <c r="F210" s="16"/>
      <c r="G210" s="14"/>
      <c r="H210" s="16"/>
      <c r="I210" s="14"/>
      <c r="J210" s="16"/>
      <c r="K210" s="14"/>
      <c r="L210" s="16"/>
    </row>
    <row r="211" spans="2:12">
      <c r="B211" s="14"/>
      <c r="C211" s="15"/>
      <c r="D211" s="15"/>
      <c r="E211" s="15"/>
      <c r="F211" s="16"/>
      <c r="G211" s="14"/>
      <c r="H211" s="16"/>
      <c r="I211" s="14"/>
      <c r="J211" s="16"/>
      <c r="K211" s="14"/>
      <c r="L211" s="16"/>
    </row>
    <row r="212" spans="2:12">
      <c r="B212" s="14"/>
      <c r="C212" s="15"/>
      <c r="D212" s="15"/>
      <c r="E212" s="15"/>
      <c r="F212" s="16"/>
      <c r="G212" s="14"/>
      <c r="H212" s="16"/>
      <c r="I212" s="14"/>
      <c r="J212" s="16"/>
      <c r="K212" s="14"/>
      <c r="L212" s="16"/>
    </row>
    <row r="213" spans="2:12">
      <c r="B213" s="14"/>
      <c r="C213" s="15"/>
      <c r="D213" s="15"/>
      <c r="E213" s="15"/>
      <c r="F213" s="16"/>
      <c r="G213" s="14"/>
      <c r="H213" s="16"/>
      <c r="I213" s="14"/>
      <c r="J213" s="16"/>
      <c r="K213" s="14"/>
      <c r="L213" s="16"/>
    </row>
    <row r="214" spans="2:12">
      <c r="B214" s="14"/>
      <c r="C214" s="15"/>
      <c r="D214" s="15"/>
      <c r="E214" s="15"/>
      <c r="F214" s="16"/>
      <c r="G214" s="14"/>
      <c r="H214" s="16"/>
      <c r="I214" s="14"/>
      <c r="J214" s="16"/>
      <c r="K214" s="14"/>
      <c r="L214" s="16"/>
    </row>
    <row r="215" spans="2:12">
      <c r="B215" s="14"/>
      <c r="C215" s="15"/>
      <c r="D215" s="15"/>
      <c r="E215" s="15"/>
      <c r="F215" s="16"/>
      <c r="G215" s="14"/>
      <c r="H215" s="16"/>
      <c r="I215" s="14"/>
      <c r="J215" s="16"/>
      <c r="K215" s="14"/>
      <c r="L215" s="16"/>
    </row>
    <row r="216" spans="2:12">
      <c r="B216" s="14"/>
      <c r="C216" s="15"/>
      <c r="D216" s="15"/>
      <c r="E216" s="15"/>
      <c r="F216" s="16"/>
      <c r="G216" s="14"/>
      <c r="H216" s="16"/>
      <c r="I216" s="14"/>
      <c r="J216" s="16"/>
      <c r="K216" s="14"/>
      <c r="L216" s="16"/>
    </row>
    <row r="217" spans="2:12">
      <c r="B217" s="14"/>
      <c r="C217" s="15"/>
      <c r="D217" s="15"/>
      <c r="E217" s="15"/>
      <c r="F217" s="16"/>
      <c r="G217" s="14"/>
      <c r="H217" s="16"/>
      <c r="I217" s="14"/>
      <c r="J217" s="16"/>
      <c r="K217" s="14"/>
      <c r="L217" s="16"/>
    </row>
    <row r="218" spans="2:12">
      <c r="B218" s="14"/>
      <c r="C218" s="15"/>
      <c r="D218" s="15"/>
      <c r="E218" s="15"/>
      <c r="F218" s="16"/>
      <c r="G218" s="14"/>
      <c r="H218" s="16"/>
      <c r="I218" s="14"/>
      <c r="J218" s="16"/>
      <c r="K218" s="14"/>
      <c r="L218" s="16"/>
    </row>
    <row r="219" spans="2:12">
      <c r="B219" s="14"/>
      <c r="C219" s="15"/>
      <c r="D219" s="15"/>
      <c r="E219" s="15"/>
      <c r="F219" s="16"/>
      <c r="G219" s="14"/>
      <c r="H219" s="16"/>
      <c r="I219" s="14"/>
      <c r="J219" s="16"/>
      <c r="K219" s="14"/>
      <c r="L219" s="16"/>
    </row>
    <row r="220" spans="2:12">
      <c r="B220" s="6"/>
      <c r="C220" s="10"/>
      <c r="D220" s="10"/>
      <c r="E220" s="10"/>
      <c r="F220" s="7"/>
      <c r="G220" s="6"/>
      <c r="H220" s="7"/>
      <c r="I220" s="6"/>
      <c r="J220" s="7"/>
      <c r="K220" s="6"/>
      <c r="L220" s="7"/>
    </row>
    <row r="222" spans="2:12">
      <c r="B222" s="23"/>
      <c r="C222" s="24" t="s">
        <v>10</v>
      </c>
      <c r="D222" s="24" t="s">
        <v>18</v>
      </c>
      <c r="E222" s="26" t="s">
        <v>19</v>
      </c>
      <c r="F222" s="27"/>
      <c r="G222" s="27"/>
      <c r="H222" s="27"/>
      <c r="I222" s="27"/>
      <c r="J222" s="27"/>
      <c r="K222" s="27"/>
      <c r="L222" s="28"/>
    </row>
    <row r="223" spans="2:12">
      <c r="B223" s="25" t="s">
        <v>15</v>
      </c>
      <c r="C223" s="23"/>
      <c r="D223" s="23"/>
      <c r="E223" s="29"/>
      <c r="F223" s="27"/>
      <c r="G223" s="27"/>
      <c r="H223" s="27"/>
      <c r="I223" s="27"/>
      <c r="J223" s="27"/>
      <c r="K223" s="27"/>
      <c r="L223" s="28"/>
    </row>
    <row r="224" spans="2:12">
      <c r="B224" s="25" t="s">
        <v>16</v>
      </c>
      <c r="C224" s="23"/>
      <c r="D224" s="23"/>
      <c r="E224" s="29"/>
      <c r="F224" s="27"/>
      <c r="G224" s="27"/>
      <c r="H224" s="27"/>
      <c r="I224" s="27"/>
      <c r="J224" s="27"/>
      <c r="K224" s="27"/>
      <c r="L224" s="28"/>
    </row>
    <row r="225" spans="2:12">
      <c r="B225" s="25" t="s">
        <v>17</v>
      </c>
      <c r="C225" s="23"/>
      <c r="D225" s="23"/>
      <c r="E225" s="29"/>
      <c r="F225" s="27"/>
      <c r="G225" s="27"/>
      <c r="H225" s="27"/>
      <c r="I225" s="27"/>
      <c r="J225" s="27"/>
      <c r="K225" s="27"/>
      <c r="L225" s="28"/>
    </row>
    <row r="232" spans="2:12">
      <c r="B232" s="1339"/>
      <c r="C232" s="1339"/>
      <c r="D232" s="1340"/>
      <c r="E232" s="1340"/>
      <c r="F232" s="1340"/>
      <c r="G232" s="32"/>
      <c r="H232" s="15"/>
      <c r="I232" s="33"/>
      <c r="J232" s="15"/>
      <c r="K232" s="33"/>
      <c r="L232" s="15"/>
    </row>
    <row r="233" spans="2:12">
      <c r="B233" s="34"/>
      <c r="C233" s="34"/>
      <c r="D233" s="1340"/>
      <c r="E233" s="1340"/>
      <c r="F233" s="1340"/>
      <c r="G233" s="1341"/>
      <c r="H233" s="1341"/>
      <c r="I233" s="1342"/>
      <c r="J233" s="1342"/>
      <c r="K233" s="1342"/>
      <c r="L233" s="1342"/>
    </row>
    <row r="234" spans="2:12">
      <c r="B234" s="35"/>
      <c r="C234" s="35"/>
      <c r="D234" s="33"/>
      <c r="E234" s="15"/>
      <c r="F234" s="15"/>
      <c r="G234" s="32"/>
      <c r="H234" s="15"/>
      <c r="I234" s="15"/>
      <c r="J234" s="15"/>
      <c r="K234" s="15"/>
      <c r="L234" s="15"/>
    </row>
    <row r="235" spans="2:12">
      <c r="B235" s="34"/>
      <c r="C235" s="34"/>
      <c r="D235" s="15"/>
      <c r="E235" s="36"/>
      <c r="F235" s="15"/>
      <c r="G235" s="37"/>
      <c r="H235" s="15"/>
      <c r="I235" s="15"/>
      <c r="J235" s="15"/>
      <c r="K235" s="15"/>
      <c r="L235" s="15"/>
    </row>
    <row r="236" spans="2:12">
      <c r="B236" s="35"/>
      <c r="C236" s="35"/>
      <c r="D236" s="32"/>
      <c r="E236" s="15"/>
      <c r="F236" s="15"/>
      <c r="G236" s="32"/>
      <c r="H236" s="15"/>
      <c r="I236" s="15"/>
      <c r="J236" s="15"/>
      <c r="K236" s="15"/>
      <c r="L236" s="15"/>
    </row>
    <row r="237" spans="2:12">
      <c r="B237" s="34"/>
      <c r="C237" s="34"/>
      <c r="D237" s="15"/>
      <c r="E237" s="15"/>
      <c r="F237" s="15"/>
      <c r="G237" s="38"/>
      <c r="H237" s="15"/>
      <c r="I237" s="15"/>
      <c r="J237" s="15"/>
      <c r="K237" s="15"/>
      <c r="L237" s="15"/>
    </row>
    <row r="238" spans="2:12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</row>
    <row r="239" spans="2:12">
      <c r="B239" s="39"/>
      <c r="C239" s="39"/>
      <c r="D239" s="15"/>
      <c r="E239" s="15"/>
      <c r="F239" s="15"/>
      <c r="G239" s="15"/>
      <c r="H239" s="15"/>
      <c r="I239" s="15"/>
      <c r="J239" s="15"/>
      <c r="K239" s="15"/>
      <c r="L239" s="15"/>
    </row>
    <row r="240" spans="2:12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</row>
    <row r="241" spans="2:12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</row>
    <row r="242" spans="2:12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</row>
    <row r="243" spans="2:12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</row>
    <row r="244" spans="2:12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</row>
    <row r="245" spans="2:12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</row>
    <row r="246" spans="2:12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</row>
    <row r="247" spans="2:12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</row>
    <row r="248" spans="2:12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</row>
    <row r="249" spans="2:12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</row>
    <row r="250" spans="2:12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</row>
    <row r="251" spans="2:12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</row>
    <row r="252" spans="2:12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</row>
    <row r="253" spans="2:12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</row>
    <row r="254" spans="2:12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</row>
    <row r="255" spans="2:12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</row>
    <row r="256" spans="2:12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</row>
    <row r="257" spans="2:12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</row>
    <row r="258" spans="2:12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</row>
    <row r="259" spans="2:12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</row>
    <row r="260" spans="2:12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</row>
    <row r="261" spans="2:12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</row>
    <row r="262" spans="2:12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</row>
    <row r="263" spans="2:12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</row>
    <row r="264" spans="2:12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</row>
    <row r="265" spans="2:12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</row>
    <row r="266" spans="2:12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</row>
    <row r="267" spans="2:12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</row>
    <row r="268" spans="2:12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</row>
    <row r="269" spans="2:12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</row>
    <row r="270" spans="2:12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</row>
    <row r="271" spans="2:12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</row>
    <row r="272" spans="2:12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</row>
    <row r="273" spans="2:12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</row>
    <row r="274" spans="2:12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</row>
    <row r="275" spans="2:12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</row>
    <row r="276" spans="2:12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</row>
    <row r="277" spans="2:12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</row>
    <row r="278" spans="2:12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</row>
    <row r="279" spans="2:12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</row>
    <row r="280" spans="2:12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</row>
    <row r="281" spans="2:12">
      <c r="B281" s="15"/>
      <c r="C281" s="40"/>
      <c r="D281" s="40"/>
      <c r="E281" s="40"/>
      <c r="F281" s="15"/>
      <c r="G281" s="15"/>
      <c r="H281" s="15"/>
      <c r="I281" s="15"/>
      <c r="J281" s="15"/>
      <c r="K281" s="15"/>
      <c r="L281" s="15"/>
    </row>
    <row r="282" spans="2:12">
      <c r="B282" s="31"/>
      <c r="C282" s="15"/>
      <c r="D282" s="15"/>
      <c r="E282" s="15"/>
      <c r="F282" s="15"/>
      <c r="G282" s="15"/>
      <c r="H282" s="15"/>
      <c r="I282" s="15"/>
      <c r="J282" s="15"/>
      <c r="K282" s="15"/>
      <c r="L282" s="15"/>
    </row>
    <row r="283" spans="2:12">
      <c r="B283" s="31"/>
      <c r="C283" s="15"/>
      <c r="D283" s="15"/>
      <c r="E283" s="15"/>
      <c r="F283" s="15"/>
      <c r="G283" s="15"/>
      <c r="H283" s="15"/>
      <c r="I283" s="15"/>
      <c r="J283" s="15"/>
      <c r="K283" s="15"/>
      <c r="L283" s="15"/>
    </row>
    <row r="284" spans="2:12">
      <c r="B284" s="31"/>
      <c r="C284" s="15"/>
      <c r="D284" s="15"/>
      <c r="E284" s="15"/>
      <c r="F284" s="15"/>
      <c r="G284" s="15"/>
      <c r="H284" s="15"/>
      <c r="I284" s="15"/>
      <c r="J284" s="15"/>
      <c r="K284" s="15"/>
      <c r="L284" s="15"/>
    </row>
    <row r="287" spans="2:12">
      <c r="E287" t="s">
        <v>76</v>
      </c>
    </row>
    <row r="291" spans="2:12">
      <c r="B291" s="1343" t="s">
        <v>0</v>
      </c>
      <c r="C291" s="1344"/>
      <c r="D291" s="1345" t="s">
        <v>4</v>
      </c>
      <c r="E291" s="1346"/>
      <c r="F291" s="1347"/>
      <c r="G291" s="9" t="s">
        <v>7</v>
      </c>
      <c r="H291" s="5"/>
      <c r="I291" s="3" t="s">
        <v>8</v>
      </c>
      <c r="J291" s="5"/>
      <c r="K291" s="3" t="s">
        <v>61</v>
      </c>
      <c r="L291" s="5"/>
    </row>
    <row r="292" spans="2:12">
      <c r="B292" s="2" t="s">
        <v>1</v>
      </c>
      <c r="C292" s="19"/>
      <c r="D292" s="1348"/>
      <c r="E292" s="1349"/>
      <c r="F292" s="1350"/>
      <c r="G292" s="1351">
        <v>1</v>
      </c>
      <c r="H292" s="1352"/>
      <c r="I292" s="1353"/>
      <c r="J292" s="1354"/>
      <c r="K292" s="1353">
        <v>5</v>
      </c>
      <c r="L292" s="1354"/>
    </row>
    <row r="293" spans="2:12">
      <c r="B293" s="18" t="s">
        <v>2</v>
      </c>
      <c r="C293" s="21"/>
      <c r="D293" s="3" t="s">
        <v>5</v>
      </c>
      <c r="E293" s="4"/>
      <c r="F293" s="5"/>
      <c r="G293" s="9" t="s">
        <v>9</v>
      </c>
      <c r="H293" s="4"/>
      <c r="I293" s="4"/>
      <c r="J293" s="4"/>
      <c r="K293" s="4"/>
      <c r="L293" s="5"/>
    </row>
    <row r="294" spans="2:12">
      <c r="B294" s="19" t="s">
        <v>57</v>
      </c>
      <c r="C294" s="22"/>
      <c r="D294" s="6"/>
      <c r="E294" s="8">
        <v>1</v>
      </c>
      <c r="F294" s="7"/>
      <c r="G294" s="11" t="s">
        <v>25</v>
      </c>
      <c r="H294" s="10"/>
      <c r="I294" s="10"/>
      <c r="J294" s="10"/>
      <c r="K294" s="10"/>
      <c r="L294" s="7"/>
    </row>
    <row r="295" spans="2:12">
      <c r="B295" s="1" t="s">
        <v>3</v>
      </c>
      <c r="C295" s="18"/>
      <c r="D295" s="9" t="s">
        <v>6</v>
      </c>
      <c r="E295" s="4"/>
      <c r="F295" s="5"/>
      <c r="G295" s="9" t="s">
        <v>10</v>
      </c>
      <c r="H295" s="4"/>
      <c r="I295" s="4"/>
      <c r="J295" s="4"/>
      <c r="K295" s="4"/>
      <c r="L295" s="5"/>
    </row>
    <row r="296" spans="2:12">
      <c r="B296" s="19">
        <v>6</v>
      </c>
      <c r="C296" s="22"/>
      <c r="D296" s="6"/>
      <c r="E296" s="10"/>
      <c r="F296" s="7"/>
      <c r="G296" s="12" t="s">
        <v>63</v>
      </c>
      <c r="H296" s="10"/>
      <c r="I296" s="10"/>
      <c r="J296" s="10"/>
      <c r="K296" s="10"/>
      <c r="L296" s="7"/>
    </row>
    <row r="298" spans="2:12">
      <c r="B298" s="13" t="s">
        <v>11</v>
      </c>
      <c r="C298" s="20"/>
      <c r="D298" s="4"/>
      <c r="E298" s="4"/>
      <c r="F298" s="5"/>
      <c r="G298" s="17" t="s">
        <v>12</v>
      </c>
      <c r="H298" s="5"/>
      <c r="I298" s="17" t="s">
        <v>13</v>
      </c>
      <c r="J298" s="5"/>
      <c r="K298" s="17" t="s">
        <v>14</v>
      </c>
      <c r="L298" s="5"/>
    </row>
    <row r="299" spans="2:12">
      <c r="B299" s="14"/>
      <c r="C299" s="15"/>
      <c r="D299" s="15"/>
      <c r="E299" s="15"/>
      <c r="F299" s="16"/>
      <c r="G299" s="14"/>
      <c r="H299" s="16"/>
      <c r="I299" s="14"/>
      <c r="J299" s="16"/>
      <c r="K299" s="14"/>
      <c r="L299" s="16"/>
    </row>
    <row r="300" spans="2:12">
      <c r="B300" s="14" t="s">
        <v>67</v>
      </c>
      <c r="C300" s="15"/>
      <c r="D300" s="15"/>
      <c r="E300" s="15"/>
      <c r="F300" s="16"/>
      <c r="G300" s="14"/>
      <c r="H300" s="16"/>
      <c r="I300" s="14"/>
      <c r="J300" s="16"/>
      <c r="K300" s="14"/>
      <c r="L300" s="16"/>
    </row>
    <row r="301" spans="2:12">
      <c r="B301" s="14" t="s">
        <v>20</v>
      </c>
      <c r="C301" s="15" t="s">
        <v>60</v>
      </c>
      <c r="D301" s="15"/>
      <c r="E301" s="15"/>
      <c r="F301" s="16"/>
      <c r="G301" s="14"/>
      <c r="H301" s="16"/>
      <c r="I301" s="14"/>
      <c r="J301" s="16"/>
      <c r="K301" s="14"/>
      <c r="L301" s="16"/>
    </row>
    <row r="302" spans="2:12">
      <c r="B302" s="14"/>
      <c r="C302" s="15"/>
      <c r="D302" s="15"/>
      <c r="E302" s="15"/>
      <c r="F302" s="16"/>
      <c r="G302" s="14"/>
      <c r="H302" s="16"/>
      <c r="I302" s="14"/>
      <c r="J302" s="16"/>
      <c r="K302" s="14"/>
      <c r="L302" s="16"/>
    </row>
    <row r="303" spans="2:12">
      <c r="B303" s="14" t="s">
        <v>36</v>
      </c>
      <c r="C303" s="15"/>
      <c r="D303" s="15"/>
      <c r="E303" s="15"/>
      <c r="F303" s="16"/>
      <c r="G303" s="14"/>
      <c r="H303" s="16"/>
      <c r="I303" s="14"/>
      <c r="J303" s="16"/>
      <c r="K303" s="14"/>
      <c r="L303" s="16"/>
    </row>
    <row r="304" spans="2:12">
      <c r="B304" s="14"/>
      <c r="C304" s="15"/>
      <c r="D304" s="15"/>
      <c r="E304" s="15"/>
      <c r="F304" s="16"/>
      <c r="G304" s="14"/>
      <c r="H304" s="16"/>
      <c r="I304" s="14"/>
      <c r="J304" s="16"/>
      <c r="K304" s="14"/>
      <c r="L304" s="16"/>
    </row>
    <row r="305" spans="2:12">
      <c r="B305" s="14" t="s">
        <v>37</v>
      </c>
      <c r="C305" s="15"/>
      <c r="D305" s="15"/>
      <c r="E305" s="15"/>
      <c r="F305" s="16"/>
      <c r="G305" s="14"/>
      <c r="H305" s="16"/>
      <c r="I305" s="14"/>
      <c r="J305" s="16"/>
      <c r="K305" s="14"/>
      <c r="L305" s="16"/>
    </row>
    <row r="306" spans="2:12">
      <c r="B306" s="14"/>
      <c r="C306" s="15"/>
      <c r="D306" s="15"/>
      <c r="E306" s="15"/>
      <c r="F306" s="16"/>
      <c r="G306" s="14"/>
      <c r="H306" s="16"/>
      <c r="I306" s="14"/>
      <c r="J306" s="16"/>
      <c r="K306" s="14"/>
      <c r="L306" s="16"/>
    </row>
    <row r="307" spans="2:12">
      <c r="B307" s="14" t="s">
        <v>29</v>
      </c>
      <c r="C307" s="15"/>
      <c r="D307" s="15"/>
      <c r="E307" s="15"/>
      <c r="F307" s="16"/>
      <c r="G307" s="14"/>
      <c r="H307" s="16"/>
      <c r="I307" s="14"/>
      <c r="J307" s="16"/>
      <c r="K307" s="14"/>
      <c r="L307" s="16"/>
    </row>
    <row r="308" spans="2:12">
      <c r="B308" s="14"/>
      <c r="C308" s="15"/>
      <c r="D308" s="15"/>
      <c r="E308" s="15"/>
      <c r="F308" s="16"/>
      <c r="G308" s="14"/>
      <c r="H308" s="16"/>
      <c r="I308" s="14"/>
      <c r="J308" s="16"/>
      <c r="K308" s="14"/>
      <c r="L308" s="16"/>
    </row>
    <row r="309" spans="2:12">
      <c r="B309" s="14" t="s">
        <v>38</v>
      </c>
      <c r="C309" s="15"/>
      <c r="D309" s="15"/>
      <c r="E309" s="15"/>
      <c r="F309" s="16"/>
      <c r="G309" s="14"/>
      <c r="H309" s="16"/>
      <c r="I309" s="14"/>
      <c r="J309" s="16"/>
      <c r="K309" s="14"/>
      <c r="L309" s="16"/>
    </row>
    <row r="310" spans="2:12">
      <c r="B310" s="14"/>
      <c r="C310" s="15"/>
      <c r="D310" s="15"/>
      <c r="E310" s="15"/>
      <c r="F310" s="16"/>
      <c r="G310" s="14"/>
      <c r="H310" s="16"/>
      <c r="I310" s="14"/>
      <c r="J310" s="16"/>
      <c r="K310" s="14"/>
      <c r="L310" s="16"/>
    </row>
    <row r="311" spans="2:12">
      <c r="B311" s="14" t="s">
        <v>39</v>
      </c>
      <c r="C311" s="15"/>
      <c r="D311" s="15"/>
      <c r="E311" s="15"/>
      <c r="F311" s="16"/>
      <c r="G311" s="14"/>
      <c r="H311" s="16"/>
      <c r="I311" s="14"/>
      <c r="J311" s="16"/>
      <c r="K311" s="14">
        <v>908.11</v>
      </c>
      <c r="L311" s="16"/>
    </row>
    <row r="312" spans="2:12">
      <c r="B312" s="14"/>
      <c r="C312" s="15"/>
      <c r="D312" s="15"/>
      <c r="E312" s="15"/>
      <c r="F312" s="16"/>
      <c r="G312" s="14"/>
      <c r="H312" s="16"/>
      <c r="I312" s="14"/>
      <c r="J312" s="16"/>
      <c r="K312" s="14"/>
      <c r="L312" s="16"/>
    </row>
    <row r="313" spans="2:12">
      <c r="B313" s="14"/>
      <c r="C313" s="15"/>
      <c r="D313" s="15"/>
      <c r="E313" s="15"/>
      <c r="F313" s="16"/>
      <c r="G313" s="14"/>
      <c r="H313" s="16"/>
      <c r="I313" s="14"/>
      <c r="J313" s="16"/>
      <c r="K313" s="14"/>
      <c r="L313" s="16"/>
    </row>
    <row r="314" spans="2:12">
      <c r="B314" s="14"/>
      <c r="C314" s="15"/>
      <c r="D314" s="15"/>
      <c r="E314" s="15"/>
      <c r="F314" s="16"/>
      <c r="G314" s="14"/>
      <c r="H314" s="16"/>
      <c r="I314" s="14"/>
      <c r="J314" s="16"/>
      <c r="K314" s="14"/>
      <c r="L314" s="16"/>
    </row>
    <row r="315" spans="2:12">
      <c r="B315" s="14"/>
      <c r="C315" s="15"/>
      <c r="D315" s="15"/>
      <c r="E315" s="15"/>
      <c r="F315" s="16"/>
      <c r="G315" s="14"/>
      <c r="H315" s="16"/>
      <c r="I315" s="14"/>
      <c r="J315" s="16"/>
      <c r="K315" s="14"/>
      <c r="L315" s="16"/>
    </row>
    <row r="316" spans="2:12">
      <c r="B316" s="14"/>
      <c r="C316" s="15"/>
      <c r="D316" s="15"/>
      <c r="E316" s="15"/>
      <c r="F316" s="16"/>
      <c r="G316" s="14"/>
      <c r="H316" s="16"/>
      <c r="I316" s="14"/>
      <c r="J316" s="16"/>
      <c r="K316" s="14"/>
      <c r="L316" s="16"/>
    </row>
    <row r="317" spans="2:12">
      <c r="B317" s="14"/>
      <c r="C317" s="15"/>
      <c r="D317" s="15"/>
      <c r="E317" s="15"/>
      <c r="F317" s="16"/>
      <c r="G317" s="14"/>
      <c r="H317" s="16"/>
      <c r="I317" s="14"/>
      <c r="J317" s="16"/>
      <c r="K317" s="14"/>
      <c r="L317" s="16"/>
    </row>
    <row r="318" spans="2:12">
      <c r="B318" s="14"/>
      <c r="C318" s="15"/>
      <c r="D318" s="15"/>
      <c r="E318" s="15"/>
      <c r="F318" s="16"/>
      <c r="G318" s="14"/>
      <c r="H318" s="16"/>
      <c r="I318" s="14"/>
      <c r="J318" s="16"/>
      <c r="K318" s="14"/>
      <c r="L318" s="16"/>
    </row>
    <row r="319" spans="2:12">
      <c r="B319" s="14"/>
      <c r="C319" s="15"/>
      <c r="D319" s="15"/>
      <c r="E319" s="15"/>
      <c r="F319" s="16"/>
      <c r="G319" s="14"/>
      <c r="H319" s="16"/>
      <c r="I319" s="14"/>
      <c r="J319" s="16"/>
      <c r="K319" s="14"/>
      <c r="L319" s="16"/>
    </row>
    <row r="320" spans="2:12">
      <c r="B320" s="14"/>
      <c r="C320" s="15"/>
      <c r="D320" s="15"/>
      <c r="E320" s="15"/>
      <c r="F320" s="16"/>
      <c r="G320" s="14"/>
      <c r="H320" s="16"/>
      <c r="I320" s="14"/>
      <c r="J320" s="16"/>
      <c r="K320" s="14"/>
      <c r="L320" s="16"/>
    </row>
    <row r="321" spans="2:12">
      <c r="B321" s="14"/>
      <c r="C321" s="15"/>
      <c r="D321" s="15"/>
      <c r="E321" s="15"/>
      <c r="F321" s="16"/>
      <c r="G321" s="14"/>
      <c r="H321" s="16"/>
      <c r="I321" s="14"/>
      <c r="J321" s="16"/>
      <c r="K321" s="14"/>
      <c r="L321" s="16"/>
    </row>
    <row r="322" spans="2:12">
      <c r="B322" s="14"/>
      <c r="C322" s="15"/>
      <c r="D322" s="15"/>
      <c r="E322" s="15"/>
      <c r="F322" s="16"/>
      <c r="G322" s="14"/>
      <c r="H322" s="16"/>
      <c r="I322" s="14"/>
      <c r="J322" s="16"/>
      <c r="K322" s="14"/>
      <c r="L322" s="16"/>
    </row>
    <row r="323" spans="2:12">
      <c r="B323" s="14"/>
      <c r="C323" s="15"/>
      <c r="D323" s="15"/>
      <c r="E323" s="15"/>
      <c r="F323" s="16"/>
      <c r="G323" s="14"/>
      <c r="H323" s="16"/>
      <c r="I323" s="14"/>
      <c r="J323" s="16"/>
      <c r="K323" s="14"/>
      <c r="L323" s="16"/>
    </row>
    <row r="324" spans="2:12">
      <c r="B324" s="14"/>
      <c r="C324" s="15"/>
      <c r="D324" s="15"/>
      <c r="E324" s="15"/>
      <c r="F324" s="16"/>
      <c r="G324" s="14"/>
      <c r="H324" s="16"/>
      <c r="I324" s="14"/>
      <c r="J324" s="16"/>
      <c r="K324" s="14"/>
      <c r="L324" s="16"/>
    </row>
    <row r="325" spans="2:12">
      <c r="B325" s="14"/>
      <c r="C325" s="15"/>
      <c r="D325" s="15"/>
      <c r="E325" s="15"/>
      <c r="F325" s="16"/>
      <c r="G325" s="14"/>
      <c r="H325" s="16"/>
      <c r="I325" s="14"/>
      <c r="J325" s="16"/>
      <c r="K325" s="14"/>
      <c r="L325" s="16"/>
    </row>
    <row r="326" spans="2:12">
      <c r="B326" s="14"/>
      <c r="C326" s="15"/>
      <c r="D326" s="15"/>
      <c r="E326" s="15"/>
      <c r="F326" s="16"/>
      <c r="G326" s="14"/>
      <c r="H326" s="16"/>
      <c r="I326" s="14"/>
      <c r="J326" s="16"/>
      <c r="K326" s="14"/>
      <c r="L326" s="16"/>
    </row>
    <row r="327" spans="2:12">
      <c r="B327" s="14"/>
      <c r="C327" s="15"/>
      <c r="D327" s="15"/>
      <c r="E327" s="15"/>
      <c r="F327" s="16"/>
      <c r="G327" s="14"/>
      <c r="H327" s="16"/>
      <c r="I327" s="14"/>
      <c r="J327" s="16"/>
      <c r="K327" s="14"/>
      <c r="L327" s="16"/>
    </row>
    <row r="328" spans="2:12">
      <c r="B328" s="14"/>
      <c r="C328" s="15"/>
      <c r="D328" s="15"/>
      <c r="E328" s="15"/>
      <c r="F328" s="16"/>
      <c r="G328" s="14"/>
      <c r="H328" s="16"/>
      <c r="I328" s="14"/>
      <c r="J328" s="16"/>
      <c r="K328" s="14"/>
      <c r="L328" s="16"/>
    </row>
    <row r="329" spans="2:12">
      <c r="B329" s="14"/>
      <c r="C329" s="15"/>
      <c r="D329" s="15"/>
      <c r="E329" s="15"/>
      <c r="F329" s="16"/>
      <c r="G329" s="14"/>
      <c r="H329" s="16"/>
      <c r="I329" s="14"/>
      <c r="J329" s="16"/>
      <c r="K329" s="14"/>
      <c r="L329" s="16"/>
    </row>
    <row r="330" spans="2:12">
      <c r="B330" s="14"/>
      <c r="C330" s="15"/>
      <c r="D330" s="15"/>
      <c r="E330" s="15"/>
      <c r="F330" s="16"/>
      <c r="G330" s="14"/>
      <c r="H330" s="16"/>
      <c r="I330" s="14"/>
      <c r="J330" s="16"/>
      <c r="K330" s="14"/>
      <c r="L330" s="16"/>
    </row>
    <row r="331" spans="2:12">
      <c r="B331" s="14"/>
      <c r="C331" s="15"/>
      <c r="D331" s="15"/>
      <c r="E331" s="15"/>
      <c r="F331" s="16"/>
      <c r="G331" s="14"/>
      <c r="H331" s="16"/>
      <c r="I331" s="14"/>
      <c r="J331" s="16"/>
      <c r="K331" s="14"/>
      <c r="L331" s="16"/>
    </row>
    <row r="332" spans="2:12">
      <c r="B332" s="14"/>
      <c r="C332" s="15"/>
      <c r="D332" s="15"/>
      <c r="E332" s="15"/>
      <c r="F332" s="16"/>
      <c r="G332" s="14"/>
      <c r="H332" s="16"/>
      <c r="I332" s="14"/>
      <c r="J332" s="16"/>
      <c r="K332" s="14"/>
      <c r="L332" s="16"/>
    </row>
    <row r="333" spans="2:12">
      <c r="B333" s="14"/>
      <c r="C333" s="15"/>
      <c r="D333" s="15"/>
      <c r="E333" s="15"/>
      <c r="F333" s="16"/>
      <c r="G333" s="14"/>
      <c r="H333" s="16"/>
      <c r="I333" s="14"/>
      <c r="J333" s="16"/>
      <c r="K333" s="14"/>
      <c r="L333" s="16"/>
    </row>
    <row r="334" spans="2:12">
      <c r="B334" s="14"/>
      <c r="C334" s="15"/>
      <c r="D334" s="15"/>
      <c r="E334" s="15"/>
      <c r="F334" s="16"/>
      <c r="G334" s="14"/>
      <c r="H334" s="16"/>
      <c r="I334" s="14"/>
      <c r="J334" s="16"/>
      <c r="K334" s="14"/>
      <c r="L334" s="16"/>
    </row>
    <row r="335" spans="2:12">
      <c r="B335" s="14"/>
      <c r="C335" s="15"/>
      <c r="D335" s="15"/>
      <c r="E335" s="15"/>
      <c r="F335" s="16"/>
      <c r="G335" s="14"/>
      <c r="H335" s="16"/>
      <c r="I335" s="14"/>
      <c r="J335" s="16"/>
      <c r="K335" s="14"/>
      <c r="L335" s="16"/>
    </row>
    <row r="336" spans="2:12">
      <c r="B336" s="14"/>
      <c r="C336" s="15"/>
      <c r="D336" s="15"/>
      <c r="E336" s="15"/>
      <c r="F336" s="16"/>
      <c r="G336" s="14"/>
      <c r="H336" s="16"/>
      <c r="I336" s="14"/>
      <c r="J336" s="16"/>
      <c r="K336" s="14"/>
      <c r="L336" s="16"/>
    </row>
    <row r="337" spans="2:12">
      <c r="B337" s="14"/>
      <c r="C337" s="15"/>
      <c r="D337" s="15"/>
      <c r="E337" s="15"/>
      <c r="F337" s="16"/>
      <c r="G337" s="14"/>
      <c r="H337" s="16"/>
      <c r="I337" s="14"/>
      <c r="J337" s="16"/>
      <c r="K337" s="14"/>
      <c r="L337" s="16"/>
    </row>
    <row r="338" spans="2:12">
      <c r="B338" s="6"/>
      <c r="C338" s="10"/>
      <c r="D338" s="10"/>
      <c r="E338" s="10"/>
      <c r="F338" s="7"/>
      <c r="G338" s="6"/>
      <c r="H338" s="7"/>
      <c r="I338" s="6"/>
      <c r="J338" s="7"/>
      <c r="K338" s="6"/>
      <c r="L338" s="7"/>
    </row>
    <row r="340" spans="2:12">
      <c r="B340" s="23"/>
      <c r="C340" s="24" t="s">
        <v>10</v>
      </c>
      <c r="D340" s="24" t="s">
        <v>18</v>
      </c>
      <c r="E340" s="26" t="s">
        <v>19</v>
      </c>
      <c r="F340" s="27"/>
      <c r="G340" s="27"/>
      <c r="H340" s="27"/>
      <c r="I340" s="27"/>
      <c r="J340" s="27"/>
      <c r="K340" s="27"/>
      <c r="L340" s="28"/>
    </row>
    <row r="341" spans="2:12">
      <c r="B341" s="25" t="s">
        <v>15</v>
      </c>
      <c r="C341" s="23"/>
      <c r="D341" s="23"/>
      <c r="E341" s="29"/>
      <c r="F341" s="27"/>
      <c r="G341" s="27"/>
      <c r="H341" s="27"/>
      <c r="I341" s="27"/>
      <c r="J341" s="27"/>
      <c r="K341" s="27"/>
      <c r="L341" s="28"/>
    </row>
    <row r="342" spans="2:12">
      <c r="B342" s="25" t="s">
        <v>16</v>
      </c>
      <c r="C342" s="23"/>
      <c r="D342" s="23"/>
      <c r="E342" s="29"/>
      <c r="F342" s="27"/>
      <c r="G342" s="27"/>
      <c r="H342" s="27"/>
      <c r="I342" s="27"/>
      <c r="J342" s="27"/>
      <c r="K342" s="27"/>
      <c r="L342" s="28"/>
    </row>
    <row r="343" spans="2:12">
      <c r="B343" s="25" t="s">
        <v>17</v>
      </c>
      <c r="C343" s="23"/>
      <c r="D343" s="23"/>
      <c r="E343" s="29"/>
      <c r="F343" s="27"/>
      <c r="G343" s="27"/>
      <c r="H343" s="27"/>
      <c r="I343" s="27"/>
      <c r="J343" s="27"/>
      <c r="K343" s="27"/>
      <c r="L343" s="28"/>
    </row>
    <row r="351" spans="2:12">
      <c r="B351" s="1343" t="s">
        <v>0</v>
      </c>
      <c r="C351" s="1344"/>
      <c r="D351" s="1345" t="s">
        <v>4</v>
      </c>
      <c r="E351" s="1346"/>
      <c r="F351" s="1347"/>
      <c r="G351" s="9" t="s">
        <v>7</v>
      </c>
      <c r="H351" s="5"/>
      <c r="I351" s="3" t="s">
        <v>8</v>
      </c>
      <c r="J351" s="5"/>
      <c r="K351" s="3" t="s">
        <v>61</v>
      </c>
      <c r="L351" s="5"/>
    </row>
    <row r="352" spans="2:12">
      <c r="B352" s="2" t="s">
        <v>1</v>
      </c>
      <c r="C352" s="19"/>
      <c r="D352" s="1348"/>
      <c r="E352" s="1349"/>
      <c r="F352" s="1350"/>
      <c r="G352" s="1351">
        <v>1</v>
      </c>
      <c r="H352" s="1352"/>
      <c r="I352" s="1353"/>
      <c r="J352" s="1354"/>
      <c r="K352" s="1353">
        <v>6</v>
      </c>
      <c r="L352" s="1354"/>
    </row>
    <row r="353" spans="2:12">
      <c r="B353" s="18" t="s">
        <v>2</v>
      </c>
      <c r="C353" s="21"/>
      <c r="D353" s="3" t="s">
        <v>5</v>
      </c>
      <c r="E353" s="4"/>
      <c r="F353" s="5"/>
      <c r="G353" s="9" t="s">
        <v>9</v>
      </c>
      <c r="H353" s="4"/>
      <c r="I353" s="4"/>
      <c r="J353" s="4"/>
      <c r="K353" s="4"/>
      <c r="L353" s="5"/>
    </row>
    <row r="354" spans="2:12">
      <c r="B354" s="19" t="s">
        <v>57</v>
      </c>
      <c r="C354" s="22"/>
      <c r="D354" s="6"/>
      <c r="E354" s="8">
        <v>1</v>
      </c>
      <c r="F354" s="7"/>
      <c r="G354" s="11" t="s">
        <v>25</v>
      </c>
      <c r="H354" s="10"/>
      <c r="I354" s="10"/>
      <c r="J354" s="10"/>
      <c r="K354" s="10"/>
      <c r="L354" s="7"/>
    </row>
    <row r="355" spans="2:12">
      <c r="B355" s="1" t="s">
        <v>3</v>
      </c>
      <c r="C355" s="18"/>
      <c r="D355" s="9" t="s">
        <v>6</v>
      </c>
      <c r="E355" s="4"/>
      <c r="F355" s="5"/>
      <c r="G355" s="9" t="s">
        <v>10</v>
      </c>
      <c r="H355" s="4"/>
      <c r="I355" s="4"/>
      <c r="J355" s="4"/>
      <c r="K355" s="4"/>
      <c r="L355" s="5"/>
    </row>
    <row r="356" spans="2:12">
      <c r="B356" s="19">
        <v>6</v>
      </c>
      <c r="C356" s="22"/>
      <c r="D356" s="6"/>
      <c r="E356" s="10"/>
      <c r="F356" s="7"/>
      <c r="G356" s="12" t="s">
        <v>63</v>
      </c>
      <c r="H356" s="10"/>
      <c r="I356" s="10"/>
      <c r="J356" s="10"/>
      <c r="K356" s="10"/>
      <c r="L356" s="7"/>
    </row>
    <row r="358" spans="2:12">
      <c r="B358" s="13" t="s">
        <v>11</v>
      </c>
      <c r="C358" s="20"/>
      <c r="D358" s="4"/>
      <c r="E358" s="4"/>
      <c r="F358" s="5"/>
      <c r="G358" s="17" t="s">
        <v>12</v>
      </c>
      <c r="H358" s="5"/>
      <c r="I358" s="17" t="s">
        <v>13</v>
      </c>
      <c r="J358" s="5"/>
      <c r="K358" s="17" t="s">
        <v>14</v>
      </c>
      <c r="L358" s="5"/>
    </row>
    <row r="359" spans="2:12">
      <c r="B359" s="14"/>
      <c r="C359" s="15"/>
      <c r="D359" s="15"/>
      <c r="E359" s="15"/>
      <c r="F359" s="16"/>
      <c r="G359" s="14"/>
      <c r="H359" s="16"/>
      <c r="I359" s="14"/>
      <c r="J359" s="16"/>
      <c r="K359" s="14"/>
      <c r="L359" s="16"/>
    </row>
    <row r="360" spans="2:12">
      <c r="B360" s="14" t="s">
        <v>68</v>
      </c>
      <c r="C360" s="15"/>
      <c r="D360" s="15"/>
      <c r="E360" s="15"/>
      <c r="F360" s="16"/>
      <c r="G360" s="14"/>
      <c r="H360" s="16"/>
      <c r="I360" s="14"/>
      <c r="J360" s="16"/>
      <c r="K360" s="14"/>
      <c r="L360" s="16"/>
    </row>
    <row r="361" spans="2:12">
      <c r="B361" s="14" t="s">
        <v>21</v>
      </c>
      <c r="C361" s="15" t="s">
        <v>60</v>
      </c>
      <c r="D361" s="15"/>
      <c r="E361" s="15"/>
      <c r="F361" s="16"/>
      <c r="G361" s="14"/>
      <c r="H361" s="16"/>
      <c r="I361" s="14"/>
      <c r="J361" s="16"/>
      <c r="K361" s="14"/>
      <c r="L361" s="16"/>
    </row>
    <row r="362" spans="2:12">
      <c r="B362" s="14"/>
      <c r="C362" s="15"/>
      <c r="D362" s="15"/>
      <c r="E362" s="15"/>
      <c r="F362" s="16"/>
      <c r="G362" s="14"/>
      <c r="H362" s="16"/>
      <c r="I362" s="14"/>
      <c r="J362" s="16"/>
      <c r="K362" s="14"/>
      <c r="L362" s="16"/>
    </row>
    <row r="363" spans="2:12">
      <c r="B363" s="14" t="s">
        <v>40</v>
      </c>
      <c r="C363" s="15"/>
      <c r="D363" s="15"/>
      <c r="E363" s="15"/>
      <c r="F363" s="16"/>
      <c r="G363" s="14"/>
      <c r="H363" s="16"/>
      <c r="I363" s="14"/>
      <c r="J363" s="16"/>
      <c r="K363" s="14"/>
      <c r="L363" s="16"/>
    </row>
    <row r="364" spans="2:12">
      <c r="B364" s="14"/>
      <c r="C364" s="15"/>
      <c r="D364" s="15"/>
      <c r="E364" s="15"/>
      <c r="F364" s="16"/>
      <c r="G364" s="14"/>
      <c r="H364" s="16"/>
      <c r="I364" s="14"/>
      <c r="J364" s="16"/>
      <c r="K364" s="14"/>
      <c r="L364" s="16"/>
    </row>
    <row r="365" spans="2:12">
      <c r="B365" s="14" t="s">
        <v>41</v>
      </c>
      <c r="C365" s="15"/>
      <c r="D365" s="15"/>
      <c r="E365" s="15"/>
      <c r="F365" s="16"/>
      <c r="G365" s="14"/>
      <c r="H365" s="16"/>
      <c r="I365" s="14"/>
      <c r="J365" s="16"/>
      <c r="K365" s="14"/>
      <c r="L365" s="16"/>
    </row>
    <row r="366" spans="2:12">
      <c r="B366" s="14"/>
      <c r="C366" s="15"/>
      <c r="D366" s="15"/>
      <c r="E366" s="15"/>
      <c r="F366" s="16"/>
      <c r="G366" s="14"/>
      <c r="H366" s="16"/>
      <c r="I366" s="14"/>
      <c r="J366" s="16"/>
      <c r="K366" s="14"/>
      <c r="L366" s="16"/>
    </row>
    <row r="367" spans="2:12">
      <c r="B367" s="14" t="s">
        <v>29</v>
      </c>
      <c r="C367" s="15"/>
      <c r="D367" s="15"/>
      <c r="E367" s="15"/>
      <c r="F367" s="16"/>
      <c r="G367" s="14"/>
      <c r="H367" s="16"/>
      <c r="I367" s="14"/>
      <c r="J367" s="16"/>
      <c r="K367" s="14"/>
      <c r="L367" s="16"/>
    </row>
    <row r="368" spans="2:12">
      <c r="B368" s="14"/>
      <c r="C368" s="15"/>
      <c r="D368" s="15"/>
      <c r="E368" s="15"/>
      <c r="F368" s="16"/>
      <c r="G368" s="14"/>
      <c r="H368" s="16"/>
      <c r="I368" s="14"/>
      <c r="J368" s="16"/>
      <c r="K368" s="14"/>
      <c r="L368" s="16"/>
    </row>
    <row r="369" spans="2:12">
      <c r="B369" s="14" t="s">
        <v>42</v>
      </c>
      <c r="C369" s="15"/>
      <c r="D369" s="15"/>
      <c r="E369" s="15"/>
      <c r="F369" s="16"/>
      <c r="G369" s="14"/>
      <c r="H369" s="16"/>
      <c r="I369" s="14"/>
      <c r="J369" s="16"/>
      <c r="K369" s="14"/>
      <c r="L369" s="16"/>
    </row>
    <row r="370" spans="2:12">
      <c r="B370" s="14"/>
      <c r="C370" s="15"/>
      <c r="D370" s="15"/>
      <c r="E370" s="15"/>
      <c r="F370" s="16"/>
      <c r="G370" s="14"/>
      <c r="H370" s="16"/>
      <c r="I370" s="14"/>
      <c r="J370" s="16"/>
      <c r="K370" s="14"/>
      <c r="L370" s="16"/>
    </row>
    <row r="371" spans="2:12">
      <c r="B371" s="14" t="s">
        <v>47</v>
      </c>
      <c r="C371" s="15"/>
      <c r="D371" s="15"/>
      <c r="E371" s="15"/>
      <c r="F371" s="16"/>
      <c r="G371" s="14"/>
      <c r="H371" s="16"/>
      <c r="I371" s="14"/>
      <c r="J371" s="16"/>
      <c r="K371" s="14">
        <v>1996.72</v>
      </c>
      <c r="L371" s="16"/>
    </row>
    <row r="372" spans="2:12">
      <c r="B372" s="14"/>
      <c r="C372" s="15"/>
      <c r="D372" s="15"/>
      <c r="E372" s="15"/>
      <c r="F372" s="16"/>
      <c r="G372" s="14"/>
      <c r="H372" s="16"/>
      <c r="I372" s="14"/>
      <c r="J372" s="16"/>
      <c r="K372" s="14"/>
      <c r="L372" s="16"/>
    </row>
    <row r="373" spans="2:12">
      <c r="B373" s="14"/>
      <c r="C373" s="15"/>
      <c r="D373" s="15"/>
      <c r="E373" s="15"/>
      <c r="F373" s="16"/>
      <c r="G373" s="14"/>
      <c r="H373" s="16"/>
      <c r="I373" s="14"/>
      <c r="J373" s="16"/>
      <c r="K373" s="14"/>
      <c r="L373" s="16"/>
    </row>
    <row r="374" spans="2:12">
      <c r="B374" s="14"/>
      <c r="C374" s="15"/>
      <c r="D374" s="15"/>
      <c r="E374" s="15"/>
      <c r="F374" s="16"/>
      <c r="G374" s="14"/>
      <c r="H374" s="16"/>
      <c r="I374" s="14"/>
      <c r="J374" s="16"/>
      <c r="K374" s="14"/>
      <c r="L374" s="16"/>
    </row>
    <row r="375" spans="2:12">
      <c r="B375" s="14"/>
      <c r="C375" s="15"/>
      <c r="D375" s="15"/>
      <c r="E375" s="15"/>
      <c r="F375" s="16"/>
      <c r="G375" s="14"/>
      <c r="H375" s="16"/>
      <c r="I375" s="14"/>
      <c r="J375" s="16"/>
      <c r="K375" s="14"/>
      <c r="L375" s="16"/>
    </row>
    <row r="376" spans="2:12">
      <c r="B376" s="14"/>
      <c r="C376" s="15"/>
      <c r="D376" s="15"/>
      <c r="E376" s="15"/>
      <c r="F376" s="16"/>
      <c r="G376" s="14"/>
      <c r="H376" s="16"/>
      <c r="I376" s="14"/>
      <c r="J376" s="16"/>
      <c r="K376" s="14"/>
      <c r="L376" s="16"/>
    </row>
    <row r="377" spans="2:12">
      <c r="B377" s="14"/>
      <c r="C377" s="15"/>
      <c r="D377" s="15"/>
      <c r="E377" s="15"/>
      <c r="F377" s="16"/>
      <c r="G377" s="14"/>
      <c r="H377" s="16"/>
      <c r="I377" s="14"/>
      <c r="J377" s="16"/>
      <c r="K377" s="14"/>
      <c r="L377" s="16"/>
    </row>
    <row r="378" spans="2:12">
      <c r="B378" s="14"/>
      <c r="C378" s="15"/>
      <c r="D378" s="15"/>
      <c r="E378" s="15"/>
      <c r="F378" s="16"/>
      <c r="G378" s="14"/>
      <c r="H378" s="16"/>
      <c r="I378" s="14"/>
      <c r="J378" s="16"/>
      <c r="K378" s="14"/>
      <c r="L378" s="16"/>
    </row>
    <row r="379" spans="2:12">
      <c r="B379" s="14"/>
      <c r="C379" s="15"/>
      <c r="D379" s="15"/>
      <c r="E379" s="15"/>
      <c r="F379" s="16"/>
      <c r="G379" s="14"/>
      <c r="H379" s="16"/>
      <c r="I379" s="14"/>
      <c r="J379" s="16"/>
      <c r="K379" s="14"/>
      <c r="L379" s="16"/>
    </row>
    <row r="380" spans="2:12">
      <c r="B380" s="14"/>
      <c r="C380" s="15"/>
      <c r="D380" s="15"/>
      <c r="E380" s="15"/>
      <c r="F380" s="16"/>
      <c r="G380" s="14"/>
      <c r="H380" s="16"/>
      <c r="I380" s="14"/>
      <c r="J380" s="16"/>
      <c r="K380" s="14"/>
      <c r="L380" s="16"/>
    </row>
    <row r="381" spans="2:12">
      <c r="B381" s="14"/>
      <c r="C381" s="15"/>
      <c r="D381" s="15"/>
      <c r="E381" s="15"/>
      <c r="F381" s="16"/>
      <c r="G381" s="14"/>
      <c r="H381" s="16"/>
      <c r="I381" s="14"/>
      <c r="J381" s="16"/>
      <c r="K381" s="14"/>
      <c r="L381" s="16"/>
    </row>
    <row r="382" spans="2:12">
      <c r="B382" s="14"/>
      <c r="C382" s="15"/>
      <c r="D382" s="15"/>
      <c r="E382" s="15"/>
      <c r="F382" s="16"/>
      <c r="G382" s="14"/>
      <c r="H382" s="16"/>
      <c r="I382" s="14"/>
      <c r="J382" s="16"/>
      <c r="K382" s="14"/>
      <c r="L382" s="16"/>
    </row>
    <row r="383" spans="2:12">
      <c r="B383" s="14"/>
      <c r="C383" s="15"/>
      <c r="D383" s="15"/>
      <c r="E383" s="15"/>
      <c r="F383" s="16"/>
      <c r="G383" s="14"/>
      <c r="H383" s="16"/>
      <c r="I383" s="14"/>
      <c r="J383" s="16"/>
      <c r="K383" s="14"/>
      <c r="L383" s="16"/>
    </row>
    <row r="384" spans="2:12">
      <c r="B384" s="14"/>
      <c r="C384" s="15"/>
      <c r="D384" s="15"/>
      <c r="E384" s="15"/>
      <c r="F384" s="16"/>
      <c r="G384" s="14"/>
      <c r="H384" s="16"/>
      <c r="I384" s="14"/>
      <c r="J384" s="16"/>
      <c r="K384" s="14"/>
      <c r="L384" s="16"/>
    </row>
    <row r="385" spans="2:12">
      <c r="B385" s="14"/>
      <c r="C385" s="15"/>
      <c r="D385" s="15"/>
      <c r="E385" s="15"/>
      <c r="F385" s="16"/>
      <c r="G385" s="14"/>
      <c r="H385" s="16"/>
      <c r="I385" s="14"/>
      <c r="J385" s="16"/>
      <c r="K385" s="14"/>
      <c r="L385" s="16"/>
    </row>
    <row r="386" spans="2:12">
      <c r="B386" s="14"/>
      <c r="C386" s="15"/>
      <c r="D386" s="15"/>
      <c r="E386" s="15"/>
      <c r="F386" s="16"/>
      <c r="G386" s="14"/>
      <c r="H386" s="16"/>
      <c r="I386" s="14"/>
      <c r="J386" s="16"/>
      <c r="K386" s="14"/>
      <c r="L386" s="16"/>
    </row>
    <row r="387" spans="2:12">
      <c r="B387" s="14"/>
      <c r="C387" s="15"/>
      <c r="D387" s="15"/>
      <c r="E387" s="15"/>
      <c r="F387" s="16"/>
      <c r="G387" s="14"/>
      <c r="H387" s="16"/>
      <c r="I387" s="14"/>
      <c r="J387" s="16"/>
      <c r="K387" s="14"/>
      <c r="L387" s="16"/>
    </row>
    <row r="388" spans="2:12">
      <c r="B388" s="14"/>
      <c r="C388" s="15"/>
      <c r="D388" s="15"/>
      <c r="E388" s="15"/>
      <c r="F388" s="16"/>
      <c r="G388" s="14"/>
      <c r="H388" s="16"/>
      <c r="I388" s="14"/>
      <c r="J388" s="16"/>
      <c r="K388" s="14"/>
      <c r="L388" s="16"/>
    </row>
    <row r="389" spans="2:12">
      <c r="B389" s="14"/>
      <c r="C389" s="15"/>
      <c r="D389" s="15"/>
      <c r="E389" s="15"/>
      <c r="F389" s="16"/>
      <c r="G389" s="14"/>
      <c r="H389" s="16"/>
      <c r="I389" s="14"/>
      <c r="J389" s="16"/>
      <c r="K389" s="14"/>
      <c r="L389" s="16"/>
    </row>
    <row r="390" spans="2:12">
      <c r="B390" s="14"/>
      <c r="C390" s="15"/>
      <c r="D390" s="15"/>
      <c r="E390" s="15"/>
      <c r="F390" s="16"/>
      <c r="G390" s="14"/>
      <c r="H390" s="16"/>
      <c r="I390" s="14"/>
      <c r="J390" s="16"/>
      <c r="K390" s="14"/>
      <c r="L390" s="16"/>
    </row>
    <row r="391" spans="2:12">
      <c r="B391" s="14"/>
      <c r="C391" s="15"/>
      <c r="D391" s="15"/>
      <c r="E391" s="15"/>
      <c r="F391" s="16"/>
      <c r="G391" s="14"/>
      <c r="H391" s="16"/>
      <c r="I391" s="14"/>
      <c r="J391" s="16"/>
      <c r="K391" s="14"/>
      <c r="L391" s="16"/>
    </row>
    <row r="392" spans="2:12">
      <c r="B392" s="14"/>
      <c r="C392" s="15"/>
      <c r="D392" s="15"/>
      <c r="E392" s="15"/>
      <c r="F392" s="16"/>
      <c r="G392" s="14"/>
      <c r="H392" s="16"/>
      <c r="I392" s="14"/>
      <c r="J392" s="16"/>
      <c r="K392" s="14"/>
      <c r="L392" s="16"/>
    </row>
    <row r="393" spans="2:12">
      <c r="B393" s="14"/>
      <c r="C393" s="15"/>
      <c r="D393" s="15"/>
      <c r="E393" s="15"/>
      <c r="F393" s="16"/>
      <c r="G393" s="14"/>
      <c r="H393" s="16"/>
      <c r="I393" s="14"/>
      <c r="J393" s="16"/>
      <c r="K393" s="14"/>
      <c r="L393" s="16"/>
    </row>
    <row r="394" spans="2:12">
      <c r="B394" s="14"/>
      <c r="C394" s="15"/>
      <c r="D394" s="15"/>
      <c r="E394" s="15"/>
      <c r="F394" s="16"/>
      <c r="G394" s="14"/>
      <c r="H394" s="16"/>
      <c r="I394" s="14"/>
      <c r="J394" s="16"/>
      <c r="K394" s="14"/>
      <c r="L394" s="16"/>
    </row>
    <row r="395" spans="2:12">
      <c r="B395" s="14"/>
      <c r="C395" s="15"/>
      <c r="D395" s="15"/>
      <c r="E395" s="15"/>
      <c r="F395" s="16"/>
      <c r="G395" s="14"/>
      <c r="H395" s="16"/>
      <c r="I395" s="14"/>
      <c r="J395" s="16"/>
      <c r="K395" s="14"/>
      <c r="L395" s="16"/>
    </row>
    <row r="396" spans="2:12">
      <c r="B396" s="14"/>
      <c r="C396" s="15"/>
      <c r="D396" s="15"/>
      <c r="E396" s="15"/>
      <c r="F396" s="16"/>
      <c r="G396" s="14"/>
      <c r="H396" s="16"/>
      <c r="I396" s="14"/>
      <c r="J396" s="16"/>
      <c r="K396" s="14"/>
      <c r="L396" s="16"/>
    </row>
    <row r="397" spans="2:12">
      <c r="B397" s="14"/>
      <c r="C397" s="15"/>
      <c r="D397" s="15"/>
      <c r="E397" s="15"/>
      <c r="F397" s="16"/>
      <c r="G397" s="14"/>
      <c r="H397" s="16"/>
      <c r="I397" s="14"/>
      <c r="J397" s="16"/>
      <c r="K397" s="14"/>
      <c r="L397" s="16"/>
    </row>
    <row r="398" spans="2:12">
      <c r="B398" s="6"/>
      <c r="C398" s="10"/>
      <c r="D398" s="10"/>
      <c r="E398" s="10"/>
      <c r="F398" s="7"/>
      <c r="G398" s="6"/>
      <c r="H398" s="7"/>
      <c r="I398" s="6"/>
      <c r="J398" s="7"/>
      <c r="K398" s="6"/>
      <c r="L398" s="7"/>
    </row>
    <row r="400" spans="2:12">
      <c r="B400" s="23"/>
      <c r="C400" s="24" t="s">
        <v>10</v>
      </c>
      <c r="D400" s="24" t="s">
        <v>18</v>
      </c>
      <c r="E400" s="26" t="s">
        <v>19</v>
      </c>
      <c r="F400" s="27"/>
      <c r="G400" s="27"/>
      <c r="H400" s="27"/>
      <c r="I400" s="27"/>
      <c r="J400" s="27"/>
      <c r="K400" s="27"/>
      <c r="L400" s="28"/>
    </row>
    <row r="401" spans="2:12">
      <c r="B401" s="25" t="s">
        <v>15</v>
      </c>
      <c r="C401" s="23"/>
      <c r="D401" s="23"/>
      <c r="E401" s="29"/>
      <c r="F401" s="27"/>
      <c r="G401" s="27"/>
      <c r="H401" s="27"/>
      <c r="I401" s="27"/>
      <c r="J401" s="27"/>
      <c r="K401" s="27"/>
      <c r="L401" s="28"/>
    </row>
    <row r="402" spans="2:12">
      <c r="B402" s="25" t="s">
        <v>16</v>
      </c>
      <c r="C402" s="23"/>
      <c r="D402" s="23"/>
      <c r="E402" s="29"/>
      <c r="F402" s="27"/>
      <c r="G402" s="27"/>
      <c r="H402" s="27"/>
      <c r="I402" s="27"/>
      <c r="J402" s="27"/>
      <c r="K402" s="27"/>
      <c r="L402" s="28"/>
    </row>
    <row r="403" spans="2:12">
      <c r="B403" s="25" t="s">
        <v>17</v>
      </c>
      <c r="C403" s="23"/>
      <c r="D403" s="23"/>
      <c r="E403" s="29"/>
      <c r="F403" s="27"/>
      <c r="G403" s="27"/>
      <c r="H403" s="27"/>
      <c r="I403" s="27"/>
      <c r="J403" s="27"/>
      <c r="K403" s="27"/>
      <c r="L403" s="28"/>
    </row>
    <row r="411" spans="2:12">
      <c r="B411" s="1343" t="s">
        <v>0</v>
      </c>
      <c r="C411" s="1344"/>
      <c r="D411" s="1345" t="s">
        <v>4</v>
      </c>
      <c r="E411" s="1346"/>
      <c r="F411" s="1347"/>
      <c r="G411" s="9" t="s">
        <v>7</v>
      </c>
      <c r="H411" s="5"/>
      <c r="I411" s="3" t="s">
        <v>8</v>
      </c>
      <c r="J411" s="5"/>
      <c r="K411" s="3" t="s">
        <v>61</v>
      </c>
      <c r="L411" s="5"/>
    </row>
    <row r="412" spans="2:12">
      <c r="B412" s="2" t="s">
        <v>1</v>
      </c>
      <c r="C412" s="19"/>
      <c r="D412" s="1348"/>
      <c r="E412" s="1349"/>
      <c r="F412" s="1350"/>
      <c r="G412" s="1351">
        <v>1</v>
      </c>
      <c r="H412" s="1352"/>
      <c r="I412" s="1353"/>
      <c r="J412" s="1354"/>
      <c r="K412" s="1353">
        <v>7</v>
      </c>
      <c r="L412" s="1354"/>
    </row>
    <row r="413" spans="2:12">
      <c r="B413" s="18" t="s">
        <v>2</v>
      </c>
      <c r="C413" s="21"/>
      <c r="D413" s="3" t="s">
        <v>5</v>
      </c>
      <c r="E413" s="4"/>
      <c r="F413" s="5"/>
      <c r="G413" s="9" t="s">
        <v>9</v>
      </c>
      <c r="H413" s="4"/>
      <c r="I413" s="4"/>
      <c r="J413" s="4"/>
      <c r="K413" s="4"/>
      <c r="L413" s="5"/>
    </row>
    <row r="414" spans="2:12">
      <c r="B414" s="19" t="s">
        <v>57</v>
      </c>
      <c r="C414" s="22"/>
      <c r="D414" s="6"/>
      <c r="E414" s="8">
        <v>1</v>
      </c>
      <c r="F414" s="7"/>
      <c r="G414" s="11" t="s">
        <v>25</v>
      </c>
      <c r="H414" s="10"/>
      <c r="I414" s="10"/>
      <c r="J414" s="10"/>
      <c r="K414" s="10"/>
      <c r="L414" s="7"/>
    </row>
    <row r="415" spans="2:12">
      <c r="B415" s="1" t="s">
        <v>3</v>
      </c>
      <c r="C415" s="18"/>
      <c r="D415" s="9" t="s">
        <v>6</v>
      </c>
      <c r="E415" s="4"/>
      <c r="F415" s="5"/>
      <c r="G415" s="9" t="s">
        <v>10</v>
      </c>
      <c r="H415" s="4"/>
      <c r="I415" s="4"/>
      <c r="J415" s="4"/>
      <c r="K415" s="4"/>
      <c r="L415" s="5"/>
    </row>
    <row r="416" spans="2:12">
      <c r="B416" s="19">
        <v>6</v>
      </c>
      <c r="C416" s="22"/>
      <c r="D416" s="6"/>
      <c r="E416" s="10"/>
      <c r="F416" s="7"/>
      <c r="G416" s="12" t="s">
        <v>63</v>
      </c>
      <c r="H416" s="10"/>
      <c r="I416" s="10"/>
      <c r="J416" s="10"/>
      <c r="K416" s="10"/>
      <c r="L416" s="7"/>
    </row>
    <row r="418" spans="2:12">
      <c r="B418" s="13" t="s">
        <v>11</v>
      </c>
      <c r="C418" s="20"/>
      <c r="D418" s="4"/>
      <c r="E418" s="4"/>
      <c r="F418" s="5"/>
      <c r="G418" s="17" t="s">
        <v>12</v>
      </c>
      <c r="H418" s="5"/>
      <c r="I418" s="17" t="s">
        <v>13</v>
      </c>
      <c r="J418" s="5"/>
      <c r="K418" s="17" t="s">
        <v>14</v>
      </c>
      <c r="L418" s="5"/>
    </row>
    <row r="419" spans="2:12">
      <c r="B419" s="14"/>
      <c r="C419" s="15"/>
      <c r="D419" s="15"/>
      <c r="E419" s="15"/>
      <c r="F419" s="16"/>
      <c r="G419" s="14"/>
      <c r="H419" s="16"/>
      <c r="I419" s="14"/>
      <c r="J419" s="16"/>
      <c r="K419" s="14"/>
      <c r="L419" s="16"/>
    </row>
    <row r="420" spans="2:12">
      <c r="B420" s="14" t="s">
        <v>69</v>
      </c>
      <c r="C420" s="15"/>
      <c r="D420" s="15"/>
      <c r="E420" s="15"/>
      <c r="F420" s="16"/>
      <c r="G420" s="14"/>
      <c r="H420" s="16"/>
      <c r="I420" s="14"/>
      <c r="J420" s="16"/>
      <c r="K420" s="14"/>
      <c r="L420" s="16"/>
    </row>
    <row r="421" spans="2:12">
      <c r="B421" s="14" t="s">
        <v>26</v>
      </c>
      <c r="C421" s="15" t="s">
        <v>60</v>
      </c>
      <c r="D421" s="15"/>
      <c r="E421" s="15"/>
      <c r="F421" s="16"/>
      <c r="G421" s="14"/>
      <c r="H421" s="16"/>
      <c r="I421" s="14"/>
      <c r="J421" s="16"/>
      <c r="K421" s="14"/>
      <c r="L421" s="16"/>
    </row>
    <row r="422" spans="2:12">
      <c r="B422" s="14"/>
      <c r="C422" s="15"/>
      <c r="D422" s="15"/>
      <c r="E422" s="15"/>
      <c r="F422" s="16"/>
      <c r="G422" s="14"/>
      <c r="H422" s="16"/>
      <c r="I422" s="14"/>
      <c r="J422" s="16"/>
      <c r="K422" s="14"/>
      <c r="L422" s="16"/>
    </row>
    <row r="423" spans="2:12">
      <c r="B423" s="14" t="s">
        <v>43</v>
      </c>
      <c r="C423" s="15"/>
      <c r="D423" s="15"/>
      <c r="E423" s="15"/>
      <c r="F423" s="16"/>
      <c r="G423" s="14"/>
      <c r="H423" s="16"/>
      <c r="I423" s="14"/>
      <c r="J423" s="16"/>
      <c r="K423" s="14"/>
      <c r="L423" s="16"/>
    </row>
    <row r="424" spans="2:12">
      <c r="B424" s="14"/>
      <c r="C424" s="15"/>
      <c r="D424" s="15"/>
      <c r="E424" s="15"/>
      <c r="F424" s="16"/>
      <c r="G424" s="14"/>
      <c r="H424" s="16"/>
      <c r="I424" s="14"/>
      <c r="J424" s="16"/>
      <c r="K424" s="14"/>
      <c r="L424" s="16"/>
    </row>
    <row r="425" spans="2:12">
      <c r="B425" s="14" t="s">
        <v>44</v>
      </c>
      <c r="C425" s="15"/>
      <c r="D425" s="15"/>
      <c r="E425" s="15"/>
      <c r="F425" s="16"/>
      <c r="G425" s="14"/>
      <c r="H425" s="16"/>
      <c r="I425" s="14"/>
      <c r="J425" s="16"/>
      <c r="K425" s="14"/>
      <c r="L425" s="16"/>
    </row>
    <row r="426" spans="2:12">
      <c r="B426" s="14"/>
      <c r="C426" s="15"/>
      <c r="D426" s="15"/>
      <c r="E426" s="15"/>
      <c r="F426" s="16"/>
      <c r="G426" s="14"/>
      <c r="H426" s="16"/>
      <c r="I426" s="14"/>
      <c r="J426" s="16"/>
      <c r="K426" s="14"/>
      <c r="L426" s="16"/>
    </row>
    <row r="427" spans="2:12">
      <c r="B427" s="14" t="s">
        <v>29</v>
      </c>
      <c r="C427" s="15"/>
      <c r="D427" s="15"/>
      <c r="E427" s="15"/>
      <c r="F427" s="16"/>
      <c r="G427" s="14"/>
      <c r="H427" s="16"/>
      <c r="I427" s="14"/>
      <c r="J427" s="16"/>
      <c r="K427" s="14"/>
      <c r="L427" s="16"/>
    </row>
    <row r="428" spans="2:12">
      <c r="B428" s="14"/>
      <c r="C428" s="15"/>
      <c r="D428" s="15"/>
      <c r="E428" s="15"/>
      <c r="F428" s="16"/>
      <c r="G428" s="14"/>
      <c r="H428" s="16"/>
      <c r="I428" s="14"/>
      <c r="J428" s="16"/>
      <c r="K428" s="14"/>
      <c r="L428" s="16"/>
    </row>
    <row r="429" spans="2:12">
      <c r="B429" s="14" t="s">
        <v>45</v>
      </c>
      <c r="C429" s="15"/>
      <c r="D429" s="15"/>
      <c r="E429" s="15"/>
      <c r="F429" s="16"/>
      <c r="G429" s="14"/>
      <c r="H429" s="16"/>
      <c r="I429" s="14"/>
      <c r="J429" s="16"/>
      <c r="K429" s="14"/>
      <c r="L429" s="16"/>
    </row>
    <row r="430" spans="2:12">
      <c r="B430" s="14"/>
      <c r="C430" s="15"/>
      <c r="D430" s="15"/>
      <c r="E430" s="15"/>
      <c r="F430" s="16"/>
      <c r="G430" s="14"/>
      <c r="H430" s="16"/>
      <c r="I430" s="14"/>
      <c r="J430" s="16"/>
      <c r="K430" s="14"/>
      <c r="L430" s="16"/>
    </row>
    <row r="431" spans="2:12">
      <c r="B431" s="14" t="s">
        <v>46</v>
      </c>
      <c r="C431" s="15"/>
      <c r="D431" s="15"/>
      <c r="E431" s="15"/>
      <c r="F431" s="16"/>
      <c r="G431" s="14"/>
      <c r="H431" s="16"/>
      <c r="I431" s="14"/>
      <c r="J431" s="16"/>
      <c r="K431" s="14">
        <v>629.85</v>
      </c>
      <c r="L431" s="16"/>
    </row>
    <row r="432" spans="2:12">
      <c r="B432" s="14"/>
      <c r="C432" s="15"/>
      <c r="D432" s="15"/>
      <c r="E432" s="15"/>
      <c r="F432" s="16"/>
      <c r="G432" s="14"/>
      <c r="H432" s="16"/>
      <c r="I432" s="14"/>
      <c r="J432" s="16"/>
      <c r="K432" s="14"/>
      <c r="L432" s="16"/>
    </row>
    <row r="433" spans="2:12">
      <c r="B433" s="14"/>
      <c r="C433" s="15"/>
      <c r="D433" s="15"/>
      <c r="E433" s="15"/>
      <c r="F433" s="16"/>
      <c r="G433" s="14"/>
      <c r="H433" s="16"/>
      <c r="I433" s="14"/>
      <c r="J433" s="16"/>
      <c r="K433" s="14"/>
      <c r="L433" s="16"/>
    </row>
    <row r="434" spans="2:12">
      <c r="B434" s="14"/>
      <c r="C434" s="15"/>
      <c r="D434" s="15"/>
      <c r="E434" s="15"/>
      <c r="F434" s="16"/>
      <c r="G434" s="14"/>
      <c r="H434" s="16"/>
      <c r="I434" s="14"/>
      <c r="J434" s="16"/>
      <c r="K434" s="14"/>
      <c r="L434" s="16"/>
    </row>
    <row r="435" spans="2:12">
      <c r="B435" s="14"/>
      <c r="C435" s="15"/>
      <c r="D435" s="15"/>
      <c r="E435" s="15"/>
      <c r="F435" s="16"/>
      <c r="G435" s="14"/>
      <c r="H435" s="16"/>
      <c r="I435" s="14"/>
      <c r="J435" s="16"/>
      <c r="K435" s="14"/>
      <c r="L435" s="16"/>
    </row>
    <row r="436" spans="2:12">
      <c r="B436" s="14"/>
      <c r="C436" s="15"/>
      <c r="D436" s="15"/>
      <c r="E436" s="15"/>
      <c r="F436" s="16"/>
      <c r="G436" s="14"/>
      <c r="H436" s="16"/>
      <c r="I436" s="14"/>
      <c r="J436" s="16"/>
      <c r="K436" s="14"/>
      <c r="L436" s="16"/>
    </row>
    <row r="437" spans="2:12">
      <c r="B437" s="14"/>
      <c r="C437" s="15"/>
      <c r="D437" s="15"/>
      <c r="E437" s="15"/>
      <c r="F437" s="16"/>
      <c r="G437" s="14"/>
      <c r="H437" s="16"/>
      <c r="I437" s="14"/>
      <c r="J437" s="16"/>
      <c r="K437" s="14"/>
      <c r="L437" s="16"/>
    </row>
    <row r="438" spans="2:12">
      <c r="B438" s="14"/>
      <c r="C438" s="15"/>
      <c r="D438" s="15"/>
      <c r="E438" s="15"/>
      <c r="F438" s="16"/>
      <c r="G438" s="14"/>
      <c r="H438" s="16"/>
      <c r="I438" s="14"/>
      <c r="J438" s="16"/>
      <c r="K438" s="14"/>
      <c r="L438" s="16"/>
    </row>
    <row r="439" spans="2:12">
      <c r="B439" s="14"/>
      <c r="C439" s="15"/>
      <c r="D439" s="15"/>
      <c r="E439" s="15"/>
      <c r="F439" s="16"/>
      <c r="G439" s="14"/>
      <c r="H439" s="16"/>
      <c r="I439" s="14"/>
      <c r="J439" s="16"/>
      <c r="K439" s="14"/>
      <c r="L439" s="16"/>
    </row>
    <row r="440" spans="2:12">
      <c r="B440" s="14"/>
      <c r="C440" s="15"/>
      <c r="D440" s="15"/>
      <c r="E440" s="15"/>
      <c r="F440" s="16"/>
      <c r="G440" s="14"/>
      <c r="H440" s="16"/>
      <c r="I440" s="14"/>
      <c r="J440" s="16"/>
      <c r="K440" s="14"/>
      <c r="L440" s="16"/>
    </row>
    <row r="441" spans="2:12">
      <c r="B441" s="14"/>
      <c r="C441" s="15"/>
      <c r="D441" s="15"/>
      <c r="E441" s="15"/>
      <c r="F441" s="16"/>
      <c r="G441" s="14"/>
      <c r="H441" s="16"/>
      <c r="I441" s="14"/>
      <c r="J441" s="16"/>
      <c r="K441" s="14"/>
      <c r="L441" s="16"/>
    </row>
    <row r="442" spans="2:12">
      <c r="B442" s="14"/>
      <c r="C442" s="15"/>
      <c r="D442" s="15"/>
      <c r="E442" s="15"/>
      <c r="F442" s="16"/>
      <c r="G442" s="14"/>
      <c r="H442" s="16"/>
      <c r="I442" s="14"/>
      <c r="J442" s="16"/>
      <c r="K442" s="14"/>
      <c r="L442" s="16"/>
    </row>
    <row r="443" spans="2:12">
      <c r="B443" s="14"/>
      <c r="C443" s="15"/>
      <c r="D443" s="15"/>
      <c r="E443" s="15"/>
      <c r="F443" s="16"/>
      <c r="G443" s="14"/>
      <c r="H443" s="16"/>
      <c r="I443" s="14"/>
      <c r="J443" s="16"/>
      <c r="K443" s="14"/>
      <c r="L443" s="16"/>
    </row>
    <row r="444" spans="2:12">
      <c r="B444" s="14"/>
      <c r="C444" s="15"/>
      <c r="D444" s="15"/>
      <c r="E444" s="15"/>
      <c r="F444" s="16"/>
      <c r="G444" s="14"/>
      <c r="H444" s="16"/>
      <c r="I444" s="14"/>
      <c r="J444" s="16"/>
      <c r="K444" s="14"/>
      <c r="L444" s="16"/>
    </row>
    <row r="445" spans="2:12">
      <c r="B445" s="14"/>
      <c r="C445" s="15"/>
      <c r="D445" s="15"/>
      <c r="E445" s="15"/>
      <c r="F445" s="16"/>
      <c r="G445" s="14"/>
      <c r="H445" s="16"/>
      <c r="I445" s="14"/>
      <c r="J445" s="16"/>
      <c r="K445" s="14"/>
      <c r="L445" s="16"/>
    </row>
    <row r="446" spans="2:12">
      <c r="B446" s="14"/>
      <c r="C446" s="15"/>
      <c r="D446" s="15"/>
      <c r="E446" s="15"/>
      <c r="F446" s="16"/>
      <c r="G446" s="14"/>
      <c r="H446" s="16"/>
      <c r="I446" s="14"/>
      <c r="J446" s="16"/>
      <c r="K446" s="14"/>
      <c r="L446" s="16"/>
    </row>
    <row r="447" spans="2:12">
      <c r="B447" s="14"/>
      <c r="C447" s="15"/>
      <c r="D447" s="15"/>
      <c r="E447" s="15"/>
      <c r="F447" s="16"/>
      <c r="G447" s="14"/>
      <c r="H447" s="16"/>
      <c r="I447" s="14"/>
      <c r="J447" s="16"/>
      <c r="K447" s="14"/>
      <c r="L447" s="16"/>
    </row>
    <row r="448" spans="2:12">
      <c r="B448" s="14"/>
      <c r="C448" s="15"/>
      <c r="D448" s="15"/>
      <c r="E448" s="15"/>
      <c r="F448" s="16"/>
      <c r="G448" s="14"/>
      <c r="H448" s="16"/>
      <c r="I448" s="14"/>
      <c r="J448" s="16"/>
      <c r="K448" s="14"/>
      <c r="L448" s="16"/>
    </row>
    <row r="449" spans="2:12">
      <c r="B449" s="14"/>
      <c r="C449" s="15"/>
      <c r="D449" s="15"/>
      <c r="E449" s="15"/>
      <c r="F449" s="16"/>
      <c r="G449" s="14"/>
      <c r="H449" s="16"/>
      <c r="I449" s="14"/>
      <c r="J449" s="16"/>
      <c r="K449" s="14"/>
      <c r="L449" s="16"/>
    </row>
    <row r="450" spans="2:12">
      <c r="B450" s="14"/>
      <c r="C450" s="15"/>
      <c r="D450" s="15"/>
      <c r="E450" s="15"/>
      <c r="F450" s="16"/>
      <c r="G450" s="14"/>
      <c r="H450" s="16"/>
      <c r="I450" s="14"/>
      <c r="J450" s="16"/>
      <c r="K450" s="14"/>
      <c r="L450" s="16"/>
    </row>
    <row r="451" spans="2:12">
      <c r="B451" s="14"/>
      <c r="C451" s="15"/>
      <c r="D451" s="15"/>
      <c r="E451" s="15"/>
      <c r="F451" s="16"/>
      <c r="G451" s="14"/>
      <c r="H451" s="16"/>
      <c r="I451" s="14"/>
      <c r="J451" s="16"/>
      <c r="K451" s="14"/>
      <c r="L451" s="16"/>
    </row>
    <row r="452" spans="2:12">
      <c r="B452" s="14"/>
      <c r="C452" s="15"/>
      <c r="D452" s="15"/>
      <c r="E452" s="15"/>
      <c r="F452" s="16"/>
      <c r="G452" s="14"/>
      <c r="H452" s="16"/>
      <c r="I452" s="14"/>
      <c r="J452" s="16"/>
      <c r="K452" s="14"/>
      <c r="L452" s="16"/>
    </row>
    <row r="453" spans="2:12">
      <c r="B453" s="14"/>
      <c r="C453" s="15"/>
      <c r="D453" s="15"/>
      <c r="E453" s="15"/>
      <c r="F453" s="16"/>
      <c r="G453" s="14"/>
      <c r="H453" s="16"/>
      <c r="I453" s="14"/>
      <c r="J453" s="16"/>
      <c r="K453" s="14"/>
      <c r="L453" s="16"/>
    </row>
    <row r="454" spans="2:12">
      <c r="B454" s="14"/>
      <c r="C454" s="15"/>
      <c r="D454" s="15"/>
      <c r="E454" s="15"/>
      <c r="F454" s="16"/>
      <c r="G454" s="14"/>
      <c r="H454" s="16"/>
      <c r="I454" s="14"/>
      <c r="J454" s="16"/>
      <c r="K454" s="14"/>
      <c r="L454" s="16"/>
    </row>
    <row r="455" spans="2:12">
      <c r="B455" s="14"/>
      <c r="C455" s="15"/>
      <c r="D455" s="15"/>
      <c r="E455" s="15"/>
      <c r="F455" s="16"/>
      <c r="G455" s="14"/>
      <c r="H455" s="16"/>
      <c r="I455" s="14"/>
      <c r="J455" s="16"/>
      <c r="K455" s="14"/>
      <c r="L455" s="16"/>
    </row>
    <row r="456" spans="2:12">
      <c r="B456" s="14"/>
      <c r="C456" s="15"/>
      <c r="D456" s="15"/>
      <c r="E456" s="15"/>
      <c r="F456" s="16"/>
      <c r="G456" s="14"/>
      <c r="H456" s="16"/>
      <c r="I456" s="14"/>
      <c r="J456" s="16"/>
      <c r="K456" s="14"/>
      <c r="L456" s="16"/>
    </row>
    <row r="457" spans="2:12">
      <c r="B457" s="14"/>
      <c r="C457" s="15"/>
      <c r="D457" s="15"/>
      <c r="E457" s="15"/>
      <c r="F457" s="16"/>
      <c r="G457" s="14"/>
      <c r="H457" s="16"/>
      <c r="I457" s="14"/>
      <c r="J457" s="16"/>
      <c r="K457" s="14"/>
      <c r="L457" s="16"/>
    </row>
    <row r="458" spans="2:12">
      <c r="B458" s="6"/>
      <c r="C458" s="10"/>
      <c r="D458" s="10"/>
      <c r="E458" s="10"/>
      <c r="F458" s="7"/>
      <c r="G458" s="6"/>
      <c r="H458" s="7"/>
      <c r="I458" s="6"/>
      <c r="J458" s="7"/>
      <c r="K458" s="6"/>
      <c r="L458" s="7"/>
    </row>
    <row r="460" spans="2:12">
      <c r="B460" s="23"/>
      <c r="C460" s="24" t="s">
        <v>10</v>
      </c>
      <c r="D460" s="24" t="s">
        <v>18</v>
      </c>
      <c r="E460" s="26" t="s">
        <v>19</v>
      </c>
      <c r="F460" s="27"/>
      <c r="G460" s="27"/>
      <c r="H460" s="27"/>
      <c r="I460" s="27"/>
      <c r="J460" s="27"/>
      <c r="K460" s="27"/>
      <c r="L460" s="28"/>
    </row>
    <row r="461" spans="2:12">
      <c r="B461" s="25" t="s">
        <v>15</v>
      </c>
      <c r="C461" s="23"/>
      <c r="D461" s="23"/>
      <c r="E461" s="29"/>
      <c r="F461" s="27"/>
      <c r="G461" s="27"/>
      <c r="H461" s="27"/>
      <c r="I461" s="27"/>
      <c r="J461" s="27"/>
      <c r="K461" s="27"/>
      <c r="L461" s="28"/>
    </row>
    <row r="462" spans="2:12">
      <c r="B462" s="25" t="s">
        <v>16</v>
      </c>
      <c r="C462" s="23"/>
      <c r="D462" s="23"/>
      <c r="E462" s="29"/>
      <c r="F462" s="27"/>
      <c r="G462" s="27"/>
      <c r="H462" s="27"/>
      <c r="I462" s="27"/>
      <c r="J462" s="27"/>
      <c r="K462" s="27"/>
      <c r="L462" s="28"/>
    </row>
    <row r="463" spans="2:12">
      <c r="B463" s="25" t="s">
        <v>17</v>
      </c>
      <c r="C463" s="23"/>
      <c r="D463" s="23"/>
      <c r="E463" s="29"/>
      <c r="F463" s="27"/>
      <c r="G463" s="27"/>
      <c r="H463" s="27"/>
      <c r="I463" s="27"/>
      <c r="J463" s="27"/>
      <c r="K463" s="27"/>
      <c r="L463" s="28"/>
    </row>
    <row r="471" spans="2:12">
      <c r="B471" s="1343" t="s">
        <v>0</v>
      </c>
      <c r="C471" s="1344"/>
      <c r="D471" s="1345" t="s">
        <v>4</v>
      </c>
      <c r="E471" s="1346"/>
      <c r="F471" s="1347"/>
      <c r="G471" s="9" t="s">
        <v>7</v>
      </c>
      <c r="H471" s="5"/>
      <c r="I471" s="3" t="s">
        <v>8</v>
      </c>
      <c r="J471" s="5"/>
      <c r="K471" s="3" t="s">
        <v>61</v>
      </c>
      <c r="L471" s="5"/>
    </row>
    <row r="472" spans="2:12">
      <c r="B472" s="2" t="s">
        <v>1</v>
      </c>
      <c r="C472" s="19"/>
      <c r="D472" s="1348"/>
      <c r="E472" s="1349"/>
      <c r="F472" s="1350"/>
      <c r="G472" s="1351">
        <v>1</v>
      </c>
      <c r="H472" s="1352"/>
      <c r="I472" s="1353"/>
      <c r="J472" s="1354"/>
      <c r="K472" s="1353">
        <v>8</v>
      </c>
      <c r="L472" s="1354"/>
    </row>
    <row r="473" spans="2:12">
      <c r="B473" s="18" t="s">
        <v>2</v>
      </c>
      <c r="C473" s="21"/>
      <c r="D473" s="3" t="s">
        <v>5</v>
      </c>
      <c r="E473" s="4"/>
      <c r="F473" s="5"/>
      <c r="G473" s="9" t="s">
        <v>9</v>
      </c>
      <c r="H473" s="4"/>
      <c r="I473" s="4"/>
      <c r="J473" s="4"/>
      <c r="K473" s="4"/>
      <c r="L473" s="5"/>
    </row>
    <row r="474" spans="2:12">
      <c r="B474" s="19" t="s">
        <v>57</v>
      </c>
      <c r="C474" s="22"/>
      <c r="D474" s="6"/>
      <c r="E474" s="8">
        <v>1</v>
      </c>
      <c r="F474" s="7"/>
      <c r="G474" s="11" t="s">
        <v>25</v>
      </c>
      <c r="H474" s="10"/>
      <c r="I474" s="10"/>
      <c r="J474" s="10"/>
      <c r="K474" s="10"/>
      <c r="L474" s="7"/>
    </row>
    <row r="475" spans="2:12">
      <c r="B475" s="1" t="s">
        <v>3</v>
      </c>
      <c r="C475" s="18"/>
      <c r="D475" s="9" t="s">
        <v>6</v>
      </c>
      <c r="E475" s="4"/>
      <c r="F475" s="5"/>
      <c r="G475" s="9" t="s">
        <v>10</v>
      </c>
      <c r="H475" s="4"/>
      <c r="I475" s="4"/>
      <c r="J475" s="4"/>
      <c r="K475" s="4"/>
      <c r="L475" s="5"/>
    </row>
    <row r="476" spans="2:12">
      <c r="B476" s="19">
        <v>6</v>
      </c>
      <c r="C476" s="22"/>
      <c r="D476" s="6"/>
      <c r="E476" s="10"/>
      <c r="F476" s="7"/>
      <c r="G476" s="12" t="s">
        <v>63</v>
      </c>
      <c r="H476" s="10"/>
      <c r="I476" s="10"/>
      <c r="J476" s="10"/>
      <c r="K476" s="10"/>
      <c r="L476" s="7"/>
    </row>
    <row r="478" spans="2:12">
      <c r="B478" s="13" t="s">
        <v>11</v>
      </c>
      <c r="C478" s="20"/>
      <c r="D478" s="4"/>
      <c r="E478" s="4"/>
      <c r="F478" s="5"/>
      <c r="G478" s="17" t="s">
        <v>12</v>
      </c>
      <c r="H478" s="5"/>
      <c r="I478" s="17" t="s">
        <v>13</v>
      </c>
      <c r="J478" s="5"/>
      <c r="K478" s="17" t="s">
        <v>14</v>
      </c>
      <c r="L478" s="5"/>
    </row>
    <row r="479" spans="2:12">
      <c r="B479" s="14"/>
      <c r="C479" s="15"/>
      <c r="D479" s="15"/>
      <c r="E479" s="15"/>
      <c r="F479" s="16"/>
      <c r="G479" s="14"/>
      <c r="H479" s="16"/>
      <c r="I479" s="14"/>
      <c r="J479" s="16"/>
      <c r="K479" s="14"/>
      <c r="L479" s="16"/>
    </row>
    <row r="480" spans="2:12">
      <c r="B480" s="14" t="s">
        <v>70</v>
      </c>
      <c r="C480" s="15"/>
      <c r="D480" s="15"/>
      <c r="E480" s="15"/>
      <c r="F480" s="16"/>
      <c r="G480" s="14"/>
      <c r="H480" s="16"/>
      <c r="I480" s="14"/>
      <c r="J480" s="16"/>
      <c r="K480" s="14"/>
      <c r="L480" s="16"/>
    </row>
    <row r="481" spans="2:12">
      <c r="B481" s="14" t="s">
        <v>27</v>
      </c>
      <c r="C481" s="15"/>
      <c r="D481" s="15"/>
      <c r="E481" s="15"/>
      <c r="F481" s="16"/>
      <c r="G481" s="14"/>
      <c r="H481" s="16"/>
      <c r="I481" s="14"/>
      <c r="J481" s="16"/>
      <c r="K481" s="14"/>
      <c r="L481" s="16"/>
    </row>
    <row r="482" spans="2:12">
      <c r="B482" s="14"/>
      <c r="C482" s="15"/>
      <c r="D482" s="15"/>
      <c r="E482" s="15"/>
      <c r="F482" s="16"/>
      <c r="G482" s="14"/>
      <c r="H482" s="16"/>
      <c r="I482" s="14"/>
      <c r="J482" s="16"/>
      <c r="K482" s="14"/>
      <c r="L482" s="16"/>
    </row>
    <row r="483" spans="2:12">
      <c r="B483" s="14" t="s">
        <v>48</v>
      </c>
      <c r="C483" s="15"/>
      <c r="D483" s="15"/>
      <c r="E483" s="15"/>
      <c r="F483" s="16"/>
      <c r="G483" s="14"/>
      <c r="H483" s="16"/>
      <c r="I483" s="14"/>
      <c r="J483" s="16"/>
      <c r="K483" s="14"/>
      <c r="L483" s="16"/>
    </row>
    <row r="484" spans="2:12">
      <c r="B484" s="14"/>
      <c r="C484" s="15"/>
      <c r="D484" s="15"/>
      <c r="E484" s="15"/>
      <c r="F484" s="16"/>
      <c r="G484" s="14"/>
      <c r="H484" s="16"/>
      <c r="I484" s="14"/>
      <c r="J484" s="16"/>
      <c r="K484" s="14"/>
      <c r="L484" s="16"/>
    </row>
    <row r="485" spans="2:12">
      <c r="B485" s="14" t="s">
        <v>49</v>
      </c>
      <c r="C485" s="15"/>
      <c r="D485" s="15"/>
      <c r="E485" s="15"/>
      <c r="F485" s="16"/>
      <c r="G485" s="14"/>
      <c r="H485" s="16"/>
      <c r="I485" s="14"/>
      <c r="J485" s="16"/>
      <c r="K485" s="14"/>
      <c r="L485" s="16"/>
    </row>
    <row r="486" spans="2:12">
      <c r="B486" s="14"/>
      <c r="C486" s="15"/>
      <c r="D486" s="15"/>
      <c r="E486" s="15"/>
      <c r="F486" s="16"/>
      <c r="G486" s="14"/>
      <c r="H486" s="16"/>
      <c r="I486" s="14"/>
      <c r="J486" s="16"/>
      <c r="K486" s="14"/>
      <c r="L486" s="16"/>
    </row>
    <row r="487" spans="2:12">
      <c r="B487" s="14" t="s">
        <v>29</v>
      </c>
      <c r="C487" s="15"/>
      <c r="D487" s="15"/>
      <c r="E487" s="15"/>
      <c r="F487" s="16"/>
      <c r="G487" s="14"/>
      <c r="H487" s="16"/>
      <c r="I487" s="14"/>
      <c r="J487" s="16"/>
      <c r="K487" s="14"/>
      <c r="L487" s="16"/>
    </row>
    <row r="488" spans="2:12">
      <c r="B488" s="14"/>
      <c r="C488" s="15"/>
      <c r="D488" s="15"/>
      <c r="E488" s="15"/>
      <c r="F488" s="16"/>
      <c r="G488" s="14"/>
      <c r="H488" s="16"/>
      <c r="I488" s="14"/>
      <c r="J488" s="16"/>
      <c r="K488" s="14"/>
      <c r="L488" s="16"/>
    </row>
    <row r="489" spans="2:12">
      <c r="B489" s="14" t="s">
        <v>50</v>
      </c>
      <c r="C489" s="15"/>
      <c r="D489" s="15"/>
      <c r="E489" s="15"/>
      <c r="F489" s="16"/>
      <c r="G489" s="14"/>
      <c r="H489" s="16"/>
      <c r="I489" s="14"/>
      <c r="J489" s="16"/>
      <c r="K489" s="14"/>
      <c r="L489" s="16"/>
    </row>
    <row r="490" spans="2:12">
      <c r="B490" s="14"/>
      <c r="C490" s="15"/>
      <c r="D490" s="15"/>
      <c r="E490" s="15"/>
      <c r="F490" s="16"/>
      <c r="G490" s="14"/>
      <c r="H490" s="16"/>
      <c r="I490" s="14"/>
      <c r="J490" s="16"/>
      <c r="K490" s="14"/>
      <c r="L490" s="16"/>
    </row>
    <row r="491" spans="2:12">
      <c r="B491" s="14" t="s">
        <v>51</v>
      </c>
      <c r="C491" s="15"/>
      <c r="D491" s="15"/>
      <c r="E491" s="15"/>
      <c r="F491" s="16"/>
      <c r="G491" s="14"/>
      <c r="H491" s="16"/>
      <c r="I491" s="14"/>
      <c r="J491" s="16"/>
      <c r="K491" s="14">
        <v>349.79</v>
      </c>
      <c r="L491" s="16"/>
    </row>
    <row r="492" spans="2:12">
      <c r="B492" s="14"/>
      <c r="C492" s="15"/>
      <c r="D492" s="15"/>
      <c r="E492" s="15"/>
      <c r="F492" s="16"/>
      <c r="G492" s="14"/>
      <c r="H492" s="16"/>
      <c r="I492" s="14"/>
      <c r="J492" s="16"/>
      <c r="K492" s="14"/>
      <c r="L492" s="16"/>
    </row>
    <row r="493" spans="2:12">
      <c r="B493" s="14"/>
      <c r="C493" s="15"/>
      <c r="D493" s="15"/>
      <c r="E493" s="15"/>
      <c r="F493" s="16"/>
      <c r="G493" s="14"/>
      <c r="H493" s="16"/>
      <c r="I493" s="14"/>
      <c r="J493" s="16"/>
      <c r="K493" s="14"/>
      <c r="L493" s="16"/>
    </row>
    <row r="494" spans="2:12">
      <c r="B494" s="14"/>
      <c r="C494" s="15"/>
      <c r="D494" s="15"/>
      <c r="E494" s="15"/>
      <c r="F494" s="16"/>
      <c r="G494" s="14"/>
      <c r="H494" s="16"/>
      <c r="I494" s="14"/>
      <c r="J494" s="16"/>
      <c r="K494" s="14"/>
      <c r="L494" s="16"/>
    </row>
    <row r="495" spans="2:12">
      <c r="B495" s="14"/>
      <c r="C495" s="15"/>
      <c r="D495" s="15"/>
      <c r="E495" s="15"/>
      <c r="F495" s="16"/>
      <c r="G495" s="14"/>
      <c r="H495" s="16"/>
      <c r="I495" s="14"/>
      <c r="J495" s="16"/>
      <c r="K495" s="14"/>
      <c r="L495" s="16"/>
    </row>
    <row r="496" spans="2:12">
      <c r="B496" s="14"/>
      <c r="C496" s="15"/>
      <c r="D496" s="15"/>
      <c r="E496" s="15"/>
      <c r="F496" s="16"/>
      <c r="G496" s="14"/>
      <c r="H496" s="16"/>
      <c r="I496" s="14"/>
      <c r="J496" s="16"/>
      <c r="K496" s="14"/>
      <c r="L496" s="16"/>
    </row>
    <row r="497" spans="2:12">
      <c r="B497" s="14"/>
      <c r="C497" s="15"/>
      <c r="D497" s="15"/>
      <c r="E497" s="15"/>
      <c r="F497" s="16"/>
      <c r="G497" s="14"/>
      <c r="H497" s="16"/>
      <c r="I497" s="14"/>
      <c r="J497" s="16"/>
      <c r="K497" s="14"/>
      <c r="L497" s="16"/>
    </row>
    <row r="498" spans="2:12">
      <c r="B498" s="14"/>
      <c r="C498" s="15"/>
      <c r="D498" s="15"/>
      <c r="E498" s="15"/>
      <c r="F498" s="16"/>
      <c r="G498" s="14"/>
      <c r="H498" s="16"/>
      <c r="I498" s="14"/>
      <c r="J498" s="16"/>
      <c r="K498" s="14"/>
      <c r="L498" s="16"/>
    </row>
    <row r="499" spans="2:12">
      <c r="B499" s="14"/>
      <c r="C499" s="15"/>
      <c r="D499" s="15"/>
      <c r="E499" s="15"/>
      <c r="F499" s="16"/>
      <c r="G499" s="14"/>
      <c r="H499" s="16"/>
      <c r="I499" s="14"/>
      <c r="J499" s="16"/>
      <c r="K499" s="14"/>
      <c r="L499" s="16"/>
    </row>
    <row r="500" spans="2:12">
      <c r="B500" s="14"/>
      <c r="C500" s="15"/>
      <c r="D500" s="15"/>
      <c r="E500" s="15"/>
      <c r="F500" s="16"/>
      <c r="G500" s="14"/>
      <c r="H500" s="16"/>
      <c r="I500" s="14"/>
      <c r="J500" s="16"/>
      <c r="K500" s="14"/>
      <c r="L500" s="16"/>
    </row>
    <row r="501" spans="2:12">
      <c r="B501" s="14"/>
      <c r="C501" s="15"/>
      <c r="D501" s="15"/>
      <c r="E501" s="15"/>
      <c r="F501" s="16"/>
      <c r="G501" s="14"/>
      <c r="H501" s="16"/>
      <c r="I501" s="14"/>
      <c r="J501" s="16"/>
      <c r="K501" s="14"/>
      <c r="L501" s="16"/>
    </row>
    <row r="502" spans="2:12">
      <c r="B502" s="14"/>
      <c r="C502" s="15"/>
      <c r="D502" s="15"/>
      <c r="E502" s="15"/>
      <c r="F502" s="16"/>
      <c r="G502" s="14"/>
      <c r="H502" s="16"/>
      <c r="I502" s="14"/>
      <c r="J502" s="16"/>
      <c r="K502" s="14"/>
      <c r="L502" s="16"/>
    </row>
    <row r="503" spans="2:12">
      <c r="B503" s="14"/>
      <c r="C503" s="15"/>
      <c r="D503" s="15"/>
      <c r="E503" s="15"/>
      <c r="F503" s="16"/>
      <c r="G503" s="14"/>
      <c r="H503" s="16"/>
      <c r="I503" s="14"/>
      <c r="J503" s="16"/>
      <c r="K503" s="14"/>
      <c r="L503" s="16"/>
    </row>
    <row r="504" spans="2:12">
      <c r="B504" s="14"/>
      <c r="C504" s="15"/>
      <c r="D504" s="15"/>
      <c r="E504" s="15"/>
      <c r="F504" s="16"/>
      <c r="G504" s="14"/>
      <c r="H504" s="16"/>
      <c r="I504" s="14"/>
      <c r="J504" s="16"/>
      <c r="K504" s="14"/>
      <c r="L504" s="16"/>
    </row>
    <row r="505" spans="2:12">
      <c r="B505" s="14"/>
      <c r="C505" s="15"/>
      <c r="D505" s="15"/>
      <c r="E505" s="15"/>
      <c r="F505" s="16"/>
      <c r="G505" s="14"/>
      <c r="H505" s="16"/>
      <c r="I505" s="14"/>
      <c r="J505" s="16"/>
      <c r="K505" s="14"/>
      <c r="L505" s="16"/>
    </row>
    <row r="506" spans="2:12">
      <c r="B506" s="14"/>
      <c r="C506" s="15"/>
      <c r="D506" s="15"/>
      <c r="E506" s="15"/>
      <c r="F506" s="16"/>
      <c r="G506" s="14"/>
      <c r="H506" s="16"/>
      <c r="I506" s="14"/>
      <c r="J506" s="16"/>
      <c r="K506" s="14"/>
      <c r="L506" s="16"/>
    </row>
    <row r="507" spans="2:12">
      <c r="B507" s="14"/>
      <c r="C507" s="15"/>
      <c r="D507" s="15"/>
      <c r="E507" s="15"/>
      <c r="F507" s="16"/>
      <c r="G507" s="14"/>
      <c r="H507" s="16"/>
      <c r="I507" s="14"/>
      <c r="J507" s="16"/>
      <c r="K507" s="14"/>
      <c r="L507" s="16"/>
    </row>
    <row r="508" spans="2:12">
      <c r="B508" s="14"/>
      <c r="C508" s="15"/>
      <c r="D508" s="15"/>
      <c r="E508" s="15"/>
      <c r="F508" s="16"/>
      <c r="G508" s="14"/>
      <c r="H508" s="16"/>
      <c r="I508" s="14"/>
      <c r="J508" s="16"/>
      <c r="K508" s="14"/>
      <c r="L508" s="16"/>
    </row>
    <row r="509" spans="2:12">
      <c r="B509" s="14"/>
      <c r="C509" s="15"/>
      <c r="D509" s="15"/>
      <c r="E509" s="15"/>
      <c r="F509" s="16"/>
      <c r="G509" s="14"/>
      <c r="H509" s="16"/>
      <c r="I509" s="14"/>
      <c r="J509" s="16"/>
      <c r="K509" s="14"/>
      <c r="L509" s="16"/>
    </row>
    <row r="510" spans="2:12">
      <c r="B510" s="14"/>
      <c r="C510" s="15"/>
      <c r="D510" s="15"/>
      <c r="E510" s="15"/>
      <c r="F510" s="16"/>
      <c r="G510" s="14"/>
      <c r="H510" s="16"/>
      <c r="I510" s="14"/>
      <c r="J510" s="16"/>
      <c r="K510" s="14"/>
      <c r="L510" s="16"/>
    </row>
    <row r="511" spans="2:12">
      <c r="B511" s="14"/>
      <c r="C511" s="15"/>
      <c r="D511" s="15"/>
      <c r="E511" s="15"/>
      <c r="F511" s="16"/>
      <c r="G511" s="14"/>
      <c r="H511" s="16"/>
      <c r="I511" s="14"/>
      <c r="J511" s="16"/>
      <c r="K511" s="14"/>
      <c r="L511" s="16"/>
    </row>
    <row r="512" spans="2:12">
      <c r="B512" s="14"/>
      <c r="C512" s="15"/>
      <c r="D512" s="15"/>
      <c r="E512" s="15"/>
      <c r="F512" s="16"/>
      <c r="G512" s="14"/>
      <c r="H512" s="16"/>
      <c r="I512" s="14"/>
      <c r="J512" s="16"/>
      <c r="K512" s="14"/>
      <c r="L512" s="16"/>
    </row>
    <row r="513" spans="2:12">
      <c r="B513" s="14"/>
      <c r="C513" s="15"/>
      <c r="D513" s="15"/>
      <c r="E513" s="15"/>
      <c r="F513" s="16"/>
      <c r="G513" s="14"/>
      <c r="H513" s="16"/>
      <c r="I513" s="14"/>
      <c r="J513" s="16"/>
      <c r="K513" s="14"/>
      <c r="L513" s="16"/>
    </row>
    <row r="514" spans="2:12">
      <c r="B514" s="14"/>
      <c r="C514" s="15"/>
      <c r="D514" s="15"/>
      <c r="E514" s="15"/>
      <c r="F514" s="16"/>
      <c r="G514" s="14"/>
      <c r="H514" s="16"/>
      <c r="I514" s="14"/>
      <c r="J514" s="16"/>
      <c r="K514" s="14"/>
      <c r="L514" s="16"/>
    </row>
    <row r="515" spans="2:12">
      <c r="B515" s="14"/>
      <c r="C515" s="15"/>
      <c r="D515" s="15"/>
      <c r="E515" s="15"/>
      <c r="F515" s="16"/>
      <c r="G515" s="14"/>
      <c r="H515" s="16"/>
      <c r="I515" s="14"/>
      <c r="J515" s="16"/>
      <c r="K515" s="14"/>
      <c r="L515" s="16"/>
    </row>
    <row r="516" spans="2:12">
      <c r="B516" s="14"/>
      <c r="C516" s="15"/>
      <c r="D516" s="15"/>
      <c r="E516" s="15"/>
      <c r="F516" s="16"/>
      <c r="G516" s="14"/>
      <c r="H516" s="16"/>
      <c r="I516" s="14"/>
      <c r="J516" s="16"/>
      <c r="K516" s="14"/>
      <c r="L516" s="16"/>
    </row>
    <row r="517" spans="2:12">
      <c r="B517" s="14"/>
      <c r="C517" s="15"/>
      <c r="D517" s="15"/>
      <c r="E517" s="15"/>
      <c r="F517" s="16"/>
      <c r="G517" s="14"/>
      <c r="H517" s="16"/>
      <c r="I517" s="14"/>
      <c r="J517" s="16"/>
      <c r="K517" s="14"/>
      <c r="L517" s="16"/>
    </row>
    <row r="518" spans="2:12">
      <c r="B518" s="6"/>
      <c r="C518" s="10"/>
      <c r="D518" s="10"/>
      <c r="E518" s="10"/>
      <c r="F518" s="7"/>
      <c r="G518" s="6"/>
      <c r="H518" s="7"/>
      <c r="I518" s="6"/>
      <c r="J518" s="7"/>
      <c r="K518" s="6"/>
      <c r="L518" s="7"/>
    </row>
    <row r="520" spans="2:12">
      <c r="B520" s="23"/>
      <c r="C520" s="24" t="s">
        <v>10</v>
      </c>
      <c r="D520" s="24" t="s">
        <v>18</v>
      </c>
      <c r="E520" s="26" t="s">
        <v>19</v>
      </c>
      <c r="F520" s="27"/>
      <c r="G520" s="27"/>
      <c r="H520" s="27"/>
      <c r="I520" s="27"/>
      <c r="J520" s="27"/>
      <c r="K520" s="27"/>
      <c r="L520" s="28"/>
    </row>
    <row r="521" spans="2:12">
      <c r="B521" s="25" t="s">
        <v>15</v>
      </c>
      <c r="C521" s="23"/>
      <c r="D521" s="23"/>
      <c r="E521" s="29"/>
      <c r="F521" s="27"/>
      <c r="G521" s="27"/>
      <c r="H521" s="27"/>
      <c r="I521" s="27"/>
      <c r="J521" s="27"/>
      <c r="K521" s="27"/>
      <c r="L521" s="28"/>
    </row>
    <row r="522" spans="2:12">
      <c r="B522" s="25" t="s">
        <v>16</v>
      </c>
      <c r="C522" s="23"/>
      <c r="D522" s="23"/>
      <c r="E522" s="29"/>
      <c r="F522" s="27"/>
      <c r="G522" s="27"/>
      <c r="H522" s="27"/>
      <c r="I522" s="27"/>
      <c r="J522" s="27"/>
      <c r="K522" s="27"/>
      <c r="L522" s="28"/>
    </row>
    <row r="523" spans="2:12">
      <c r="B523" s="25" t="s">
        <v>17</v>
      </c>
      <c r="C523" s="23"/>
      <c r="D523" s="23"/>
      <c r="E523" s="29"/>
      <c r="F523" s="27"/>
      <c r="G523" s="27"/>
      <c r="H523" s="27"/>
      <c r="I523" s="27"/>
      <c r="J523" s="27"/>
      <c r="K523" s="27"/>
      <c r="L523" s="28"/>
    </row>
    <row r="531" spans="2:12">
      <c r="B531" s="1343" t="s">
        <v>0</v>
      </c>
      <c r="C531" s="1344"/>
      <c r="D531" s="1345" t="s">
        <v>4</v>
      </c>
      <c r="E531" s="1346"/>
      <c r="F531" s="1347"/>
      <c r="G531" s="9" t="s">
        <v>7</v>
      </c>
      <c r="H531" s="5"/>
      <c r="I531" s="3" t="s">
        <v>8</v>
      </c>
      <c r="J531" s="5"/>
      <c r="K531" s="3" t="s">
        <v>61</v>
      </c>
      <c r="L531" s="5"/>
    </row>
    <row r="532" spans="2:12">
      <c r="B532" s="2" t="s">
        <v>1</v>
      </c>
      <c r="C532" s="19"/>
      <c r="D532" s="1348"/>
      <c r="E532" s="1349"/>
      <c r="F532" s="1350"/>
      <c r="G532" s="1351">
        <v>1</v>
      </c>
      <c r="H532" s="1352"/>
      <c r="I532" s="1353"/>
      <c r="J532" s="1354"/>
      <c r="K532" s="1353">
        <v>9</v>
      </c>
      <c r="L532" s="1354"/>
    </row>
    <row r="533" spans="2:12">
      <c r="B533" s="18" t="s">
        <v>2</v>
      </c>
      <c r="C533" s="21"/>
      <c r="D533" s="3" t="s">
        <v>5</v>
      </c>
      <c r="E533" s="4"/>
      <c r="F533" s="5"/>
      <c r="G533" s="9" t="s">
        <v>9</v>
      </c>
      <c r="H533" s="4"/>
      <c r="I533" s="4"/>
      <c r="J533" s="4"/>
      <c r="K533" s="4"/>
      <c r="L533" s="5"/>
    </row>
    <row r="534" spans="2:12">
      <c r="B534" s="19" t="s">
        <v>57</v>
      </c>
      <c r="C534" s="22"/>
      <c r="D534" s="6"/>
      <c r="E534" s="8">
        <v>1</v>
      </c>
      <c r="F534" s="7"/>
      <c r="G534" s="11" t="s">
        <v>25</v>
      </c>
      <c r="H534" s="10"/>
      <c r="I534" s="10"/>
      <c r="J534" s="10"/>
      <c r="K534" s="10"/>
      <c r="L534" s="7"/>
    </row>
    <row r="535" spans="2:12">
      <c r="B535" s="1" t="s">
        <v>3</v>
      </c>
      <c r="C535" s="18"/>
      <c r="D535" s="9" t="s">
        <v>6</v>
      </c>
      <c r="E535" s="4"/>
      <c r="F535" s="5"/>
      <c r="G535" s="9" t="s">
        <v>10</v>
      </c>
      <c r="H535" s="4"/>
      <c r="I535" s="4"/>
      <c r="J535" s="4"/>
      <c r="K535" s="4"/>
      <c r="L535" s="5"/>
    </row>
    <row r="536" spans="2:12">
      <c r="B536" s="19">
        <v>6</v>
      </c>
      <c r="C536" s="22"/>
      <c r="D536" s="6"/>
      <c r="E536" s="10"/>
      <c r="F536" s="7"/>
      <c r="G536" s="12" t="s">
        <v>63</v>
      </c>
      <c r="H536" s="10"/>
      <c r="I536" s="10"/>
      <c r="J536" s="10"/>
      <c r="K536" s="10"/>
      <c r="L536" s="7"/>
    </row>
    <row r="538" spans="2:12">
      <c r="B538" s="13" t="s">
        <v>11</v>
      </c>
      <c r="C538" s="20"/>
      <c r="D538" s="4"/>
      <c r="E538" s="4"/>
      <c r="F538" s="5"/>
      <c r="G538" s="17" t="s">
        <v>12</v>
      </c>
      <c r="H538" s="5"/>
      <c r="I538" s="17" t="s">
        <v>13</v>
      </c>
      <c r="J538" s="5"/>
      <c r="K538" s="17" t="s">
        <v>14</v>
      </c>
      <c r="L538" s="5"/>
    </row>
    <row r="539" spans="2:12">
      <c r="B539" s="14"/>
      <c r="C539" s="15"/>
      <c r="D539" s="15"/>
      <c r="E539" s="15"/>
      <c r="F539" s="16"/>
      <c r="G539" s="14"/>
      <c r="H539" s="16"/>
      <c r="I539" s="14"/>
      <c r="J539" s="16"/>
      <c r="K539" s="14"/>
      <c r="L539" s="16"/>
    </row>
    <row r="540" spans="2:12">
      <c r="B540" s="14" t="s">
        <v>71</v>
      </c>
      <c r="C540" s="15"/>
      <c r="D540" s="15"/>
      <c r="E540" s="15"/>
      <c r="F540" s="16"/>
      <c r="G540" s="14"/>
      <c r="H540" s="16"/>
      <c r="I540" s="14"/>
      <c r="J540" s="16"/>
      <c r="K540" s="14"/>
      <c r="L540" s="16"/>
    </row>
    <row r="541" spans="2:12">
      <c r="B541" s="14" t="s">
        <v>28</v>
      </c>
      <c r="C541" s="15"/>
      <c r="D541" s="15"/>
      <c r="E541" s="15"/>
      <c r="F541" s="16"/>
      <c r="G541" s="14"/>
      <c r="H541" s="16"/>
      <c r="I541" s="14"/>
      <c r="J541" s="16"/>
      <c r="K541" s="14"/>
      <c r="L541" s="16"/>
    </row>
    <row r="542" spans="2:12">
      <c r="B542" s="14"/>
      <c r="C542" s="15"/>
      <c r="D542" s="15"/>
      <c r="E542" s="15"/>
      <c r="F542" s="16"/>
      <c r="G542" s="14"/>
      <c r="H542" s="16"/>
      <c r="I542" s="14"/>
      <c r="J542" s="16"/>
      <c r="K542" s="14"/>
      <c r="L542" s="16"/>
    </row>
    <row r="543" spans="2:12">
      <c r="B543" s="14" t="s">
        <v>53</v>
      </c>
      <c r="C543" s="15"/>
      <c r="D543" s="15"/>
      <c r="E543" s="15"/>
      <c r="F543" s="16"/>
      <c r="G543" s="14"/>
      <c r="H543" s="16"/>
      <c r="I543" s="14"/>
      <c r="J543" s="16"/>
      <c r="K543" s="14"/>
      <c r="L543" s="16"/>
    </row>
    <row r="544" spans="2:12">
      <c r="B544" s="14"/>
      <c r="C544" s="15"/>
      <c r="D544" s="15"/>
      <c r="E544" s="15"/>
      <c r="F544" s="16"/>
      <c r="G544" s="14"/>
      <c r="H544" s="16"/>
      <c r="I544" s="14"/>
      <c r="J544" s="16"/>
      <c r="K544" s="14"/>
      <c r="L544" s="16"/>
    </row>
    <row r="545" spans="2:12">
      <c r="B545" s="14" t="s">
        <v>54</v>
      </c>
      <c r="C545" s="15"/>
      <c r="D545" s="15"/>
      <c r="E545" s="15"/>
      <c r="F545" s="16"/>
      <c r="G545" s="14"/>
      <c r="H545" s="16"/>
      <c r="I545" s="14"/>
      <c r="J545" s="16"/>
      <c r="K545" s="14"/>
      <c r="L545" s="16"/>
    </row>
    <row r="546" spans="2:12">
      <c r="B546" s="14"/>
      <c r="C546" s="15"/>
      <c r="D546" s="15"/>
      <c r="E546" s="15"/>
      <c r="F546" s="16"/>
      <c r="G546" s="14"/>
      <c r="H546" s="16"/>
      <c r="I546" s="14"/>
      <c r="J546" s="16"/>
      <c r="K546" s="14"/>
      <c r="L546" s="16"/>
    </row>
    <row r="547" spans="2:12">
      <c r="B547" s="14" t="s">
        <v>52</v>
      </c>
      <c r="C547" s="15"/>
      <c r="D547" s="15"/>
      <c r="E547" s="15"/>
      <c r="F547" s="16"/>
      <c r="G547" s="14"/>
      <c r="H547" s="16"/>
      <c r="I547" s="14"/>
      <c r="J547" s="16"/>
      <c r="K547" s="14"/>
      <c r="L547" s="16"/>
    </row>
    <row r="548" spans="2:12">
      <c r="B548" s="14"/>
      <c r="C548" s="15"/>
      <c r="D548" s="15"/>
      <c r="E548" s="15"/>
      <c r="F548" s="16"/>
      <c r="G548" s="14"/>
      <c r="H548" s="16"/>
      <c r="I548" s="14"/>
      <c r="J548" s="16"/>
      <c r="K548" s="14"/>
      <c r="L548" s="16"/>
    </row>
    <row r="549" spans="2:12">
      <c r="B549" s="14" t="s">
        <v>56</v>
      </c>
      <c r="C549" s="15"/>
      <c r="D549" s="15"/>
      <c r="E549" s="15"/>
      <c r="F549" s="16"/>
      <c r="G549" s="14"/>
      <c r="H549" s="16"/>
      <c r="I549" s="14"/>
      <c r="J549" s="16"/>
      <c r="K549" s="14"/>
      <c r="L549" s="16"/>
    </row>
    <row r="550" spans="2:12">
      <c r="B550" s="14"/>
      <c r="C550" s="15"/>
      <c r="D550" s="15"/>
      <c r="E550" s="15"/>
      <c r="F550" s="16"/>
      <c r="G550" s="14"/>
      <c r="H550" s="16"/>
      <c r="I550" s="14"/>
      <c r="J550" s="16"/>
      <c r="K550" s="14"/>
      <c r="L550" s="16"/>
    </row>
    <row r="551" spans="2:12">
      <c r="B551" s="14" t="s">
        <v>55</v>
      </c>
      <c r="C551" s="15"/>
      <c r="D551" s="15"/>
      <c r="E551" s="15"/>
      <c r="F551" s="16"/>
      <c r="G551" s="14"/>
      <c r="H551" s="16"/>
      <c r="I551" s="14"/>
      <c r="J551" s="16"/>
      <c r="K551" s="14">
        <v>55.85</v>
      </c>
      <c r="L551" s="16"/>
    </row>
    <row r="552" spans="2:12">
      <c r="B552" s="14"/>
      <c r="C552" s="15"/>
      <c r="D552" s="15"/>
      <c r="E552" s="15"/>
      <c r="F552" s="16"/>
      <c r="G552" s="14"/>
      <c r="H552" s="16"/>
      <c r="I552" s="14"/>
      <c r="J552" s="16"/>
      <c r="K552" s="14"/>
      <c r="L552" s="16"/>
    </row>
    <row r="553" spans="2:12">
      <c r="B553" s="14"/>
      <c r="C553" s="15"/>
      <c r="D553" s="15"/>
      <c r="E553" s="15"/>
      <c r="F553" s="16"/>
      <c r="G553" s="14"/>
      <c r="H553" s="16"/>
      <c r="I553" s="14"/>
      <c r="J553" s="16"/>
      <c r="K553" s="14"/>
      <c r="L553" s="16"/>
    </row>
    <row r="554" spans="2:12">
      <c r="B554" s="14"/>
      <c r="C554" s="15"/>
      <c r="D554" s="15"/>
      <c r="E554" s="15"/>
      <c r="F554" s="16"/>
      <c r="G554" s="14"/>
      <c r="H554" s="16"/>
      <c r="I554" s="14"/>
      <c r="J554" s="16"/>
      <c r="K554" s="14"/>
      <c r="L554" s="16"/>
    </row>
    <row r="555" spans="2:12">
      <c r="B555" s="14"/>
      <c r="C555" s="15"/>
      <c r="D555" s="15"/>
      <c r="E555" s="15"/>
      <c r="F555" s="16"/>
      <c r="G555" s="14"/>
      <c r="H555" s="16"/>
      <c r="I555" s="14"/>
      <c r="J555" s="16"/>
      <c r="K555" s="14"/>
      <c r="L555" s="16"/>
    </row>
    <row r="556" spans="2:12">
      <c r="B556" s="14"/>
      <c r="C556" s="15"/>
      <c r="D556" s="15"/>
      <c r="E556" s="15"/>
      <c r="F556" s="16"/>
      <c r="G556" s="14"/>
      <c r="H556" s="16"/>
      <c r="I556" s="14"/>
      <c r="J556" s="16"/>
      <c r="K556" s="14"/>
      <c r="L556" s="16"/>
    </row>
    <row r="557" spans="2:12">
      <c r="B557" s="14"/>
      <c r="C557" s="15"/>
      <c r="D557" s="15"/>
      <c r="E557" s="15"/>
      <c r="F557" s="16"/>
      <c r="G557" s="14"/>
      <c r="H557" s="16"/>
      <c r="I557" s="14"/>
      <c r="J557" s="16"/>
      <c r="K557" s="14"/>
      <c r="L557" s="16"/>
    </row>
    <row r="558" spans="2:12">
      <c r="B558" s="14"/>
      <c r="C558" s="15"/>
      <c r="D558" s="15"/>
      <c r="E558" s="15"/>
      <c r="F558" s="16"/>
      <c r="G558" s="14"/>
      <c r="H558" s="16"/>
      <c r="I558" s="14"/>
      <c r="J558" s="16"/>
      <c r="K558" s="14"/>
      <c r="L558" s="16"/>
    </row>
    <row r="559" spans="2:12">
      <c r="B559" s="14"/>
      <c r="C559" s="15"/>
      <c r="D559" s="15"/>
      <c r="E559" s="15"/>
      <c r="F559" s="16"/>
      <c r="G559" s="14"/>
      <c r="H559" s="16"/>
      <c r="I559" s="14"/>
      <c r="J559" s="16"/>
      <c r="K559" s="14"/>
      <c r="L559" s="16"/>
    </row>
    <row r="560" spans="2:12">
      <c r="B560" s="14"/>
      <c r="C560" s="15"/>
      <c r="D560" s="15"/>
      <c r="E560" s="15"/>
      <c r="F560" s="16"/>
      <c r="G560" s="14"/>
      <c r="H560" s="16"/>
      <c r="I560" s="14"/>
      <c r="J560" s="16"/>
      <c r="K560" s="14"/>
      <c r="L560" s="16"/>
    </row>
    <row r="561" spans="2:12">
      <c r="B561" s="14"/>
      <c r="C561" s="15"/>
      <c r="D561" s="15"/>
      <c r="E561" s="15"/>
      <c r="F561" s="16"/>
      <c r="G561" s="14"/>
      <c r="H561" s="16"/>
      <c r="I561" s="14"/>
      <c r="J561" s="16"/>
      <c r="K561" s="14"/>
      <c r="L561" s="16"/>
    </row>
    <row r="562" spans="2:12">
      <c r="B562" s="14"/>
      <c r="C562" s="15"/>
      <c r="D562" s="15"/>
      <c r="E562" s="15"/>
      <c r="F562" s="16"/>
      <c r="G562" s="14"/>
      <c r="H562" s="16"/>
      <c r="I562" s="14"/>
      <c r="J562" s="16"/>
      <c r="K562" s="14"/>
      <c r="L562" s="16"/>
    </row>
    <row r="563" spans="2:12">
      <c r="B563" s="14"/>
      <c r="C563" s="15"/>
      <c r="D563" s="15"/>
      <c r="E563" s="15"/>
      <c r="F563" s="16"/>
      <c r="G563" s="14"/>
      <c r="H563" s="16"/>
      <c r="I563" s="14"/>
      <c r="J563" s="16"/>
      <c r="K563" s="14"/>
      <c r="L563" s="16"/>
    </row>
    <row r="564" spans="2:12">
      <c r="B564" s="14"/>
      <c r="C564" s="15"/>
      <c r="D564" s="15"/>
      <c r="E564" s="15"/>
      <c r="F564" s="16"/>
      <c r="G564" s="14"/>
      <c r="H564" s="16"/>
      <c r="I564" s="14"/>
      <c r="J564" s="16"/>
      <c r="K564" s="14"/>
      <c r="L564" s="16"/>
    </row>
    <row r="565" spans="2:12">
      <c r="B565" s="14"/>
      <c r="C565" s="15"/>
      <c r="D565" s="15"/>
      <c r="E565" s="15"/>
      <c r="F565" s="16"/>
      <c r="G565" s="14"/>
      <c r="H565" s="16"/>
      <c r="I565" s="14"/>
      <c r="J565" s="16"/>
      <c r="K565" s="14"/>
      <c r="L565" s="16"/>
    </row>
    <row r="566" spans="2:12">
      <c r="B566" s="14"/>
      <c r="C566" s="15"/>
      <c r="D566" s="15"/>
      <c r="E566" s="15"/>
      <c r="F566" s="16"/>
      <c r="G566" s="14"/>
      <c r="H566" s="16"/>
      <c r="I566" s="14"/>
      <c r="J566" s="16"/>
      <c r="K566" s="14"/>
      <c r="L566" s="16"/>
    </row>
    <row r="567" spans="2:12">
      <c r="B567" s="14"/>
      <c r="C567" s="15"/>
      <c r="D567" s="15"/>
      <c r="E567" s="15"/>
      <c r="F567" s="16"/>
      <c r="G567" s="14"/>
      <c r="H567" s="16"/>
      <c r="I567" s="14"/>
      <c r="J567" s="16"/>
      <c r="K567" s="14"/>
      <c r="L567" s="16"/>
    </row>
    <row r="568" spans="2:12">
      <c r="B568" s="14"/>
      <c r="C568" s="15"/>
      <c r="D568" s="15"/>
      <c r="E568" s="15"/>
      <c r="F568" s="16"/>
      <c r="G568" s="14"/>
      <c r="H568" s="16"/>
      <c r="I568" s="14"/>
      <c r="J568" s="16"/>
      <c r="K568" s="14"/>
      <c r="L568" s="16"/>
    </row>
    <row r="569" spans="2:12">
      <c r="B569" s="14"/>
      <c r="C569" s="15"/>
      <c r="D569" s="15"/>
      <c r="E569" s="15"/>
      <c r="F569" s="16"/>
      <c r="G569" s="14"/>
      <c r="H569" s="16"/>
      <c r="I569" s="14"/>
      <c r="J569" s="16"/>
      <c r="K569" s="14"/>
      <c r="L569" s="16"/>
    </row>
    <row r="570" spans="2:12">
      <c r="B570" s="14"/>
      <c r="C570" s="15"/>
      <c r="D570" s="15"/>
      <c r="E570" s="15"/>
      <c r="F570" s="16"/>
      <c r="G570" s="14"/>
      <c r="H570" s="16"/>
      <c r="I570" s="14"/>
      <c r="J570" s="16"/>
      <c r="K570" s="14"/>
      <c r="L570" s="16"/>
    </row>
    <row r="571" spans="2:12">
      <c r="B571" s="14"/>
      <c r="C571" s="15"/>
      <c r="D571" s="15"/>
      <c r="E571" s="15"/>
      <c r="F571" s="16"/>
      <c r="G571" s="14"/>
      <c r="H571" s="16"/>
      <c r="I571" s="14"/>
      <c r="J571" s="16"/>
      <c r="K571" s="14"/>
      <c r="L571" s="16"/>
    </row>
    <row r="572" spans="2:12">
      <c r="B572" s="14"/>
      <c r="C572" s="15"/>
      <c r="D572" s="15"/>
      <c r="E572" s="15"/>
      <c r="F572" s="16"/>
      <c r="G572" s="14"/>
      <c r="H572" s="16"/>
      <c r="I572" s="14"/>
      <c r="J572" s="16"/>
      <c r="K572" s="14"/>
      <c r="L572" s="16"/>
    </row>
    <row r="573" spans="2:12">
      <c r="B573" s="14"/>
      <c r="C573" s="15"/>
      <c r="D573" s="15"/>
      <c r="E573" s="15"/>
      <c r="F573" s="16"/>
      <c r="G573" s="14"/>
      <c r="H573" s="16"/>
      <c r="I573" s="14"/>
      <c r="J573" s="16"/>
      <c r="K573" s="14"/>
      <c r="L573" s="16"/>
    </row>
    <row r="574" spans="2:12">
      <c r="B574" s="14"/>
      <c r="C574" s="15"/>
      <c r="D574" s="15"/>
      <c r="E574" s="15"/>
      <c r="F574" s="16"/>
      <c r="G574" s="14"/>
      <c r="H574" s="16"/>
      <c r="I574" s="14"/>
      <c r="J574" s="16"/>
      <c r="K574" s="14"/>
      <c r="L574" s="16"/>
    </row>
    <row r="575" spans="2:12">
      <c r="B575" s="14"/>
      <c r="C575" s="15"/>
      <c r="D575" s="15"/>
      <c r="E575" s="15"/>
      <c r="F575" s="16"/>
      <c r="G575" s="14"/>
      <c r="H575" s="16"/>
      <c r="I575" s="14"/>
      <c r="J575" s="16"/>
      <c r="K575" s="14"/>
      <c r="L575" s="16"/>
    </row>
    <row r="576" spans="2:12">
      <c r="B576" s="14"/>
      <c r="C576" s="15"/>
      <c r="D576" s="15"/>
      <c r="E576" s="15"/>
      <c r="F576" s="16"/>
      <c r="G576" s="14"/>
      <c r="H576" s="16"/>
      <c r="I576" s="14"/>
      <c r="J576" s="16"/>
      <c r="K576" s="14"/>
      <c r="L576" s="16"/>
    </row>
    <row r="577" spans="2:12">
      <c r="B577" s="14"/>
      <c r="C577" s="15"/>
      <c r="D577" s="15"/>
      <c r="E577" s="15"/>
      <c r="F577" s="16"/>
      <c r="G577" s="14"/>
      <c r="H577" s="16"/>
      <c r="I577" s="14"/>
      <c r="J577" s="16"/>
      <c r="K577" s="14"/>
      <c r="L577" s="16"/>
    </row>
    <row r="578" spans="2:12">
      <c r="B578" s="6"/>
      <c r="C578" s="10"/>
      <c r="D578" s="10"/>
      <c r="E578" s="10"/>
      <c r="F578" s="7"/>
      <c r="G578" s="6"/>
      <c r="H578" s="7"/>
      <c r="I578" s="6"/>
      <c r="J578" s="7"/>
      <c r="K578" s="6"/>
      <c r="L578" s="7"/>
    </row>
    <row r="580" spans="2:12">
      <c r="B580" s="23"/>
      <c r="C580" s="24" t="s">
        <v>10</v>
      </c>
      <c r="D580" s="24" t="s">
        <v>18</v>
      </c>
      <c r="E580" s="26" t="s">
        <v>19</v>
      </c>
      <c r="F580" s="27"/>
      <c r="G580" s="27"/>
      <c r="H580" s="27"/>
      <c r="I580" s="27"/>
      <c r="J580" s="27"/>
      <c r="K580" s="27"/>
      <c r="L580" s="28"/>
    </row>
    <row r="581" spans="2:12">
      <c r="B581" s="25" t="s">
        <v>15</v>
      </c>
      <c r="C581" s="23"/>
      <c r="D581" s="23"/>
      <c r="E581" s="29"/>
      <c r="F581" s="27"/>
      <c r="G581" s="27"/>
      <c r="H581" s="27"/>
      <c r="I581" s="27"/>
      <c r="J581" s="27"/>
      <c r="K581" s="27"/>
      <c r="L581" s="28"/>
    </row>
    <row r="582" spans="2:12">
      <c r="B582" s="25" t="s">
        <v>16</v>
      </c>
      <c r="C582" s="23"/>
      <c r="D582" s="23"/>
      <c r="E582" s="29"/>
      <c r="F582" s="27"/>
      <c r="G582" s="27"/>
      <c r="H582" s="27"/>
      <c r="I582" s="27"/>
      <c r="J582" s="27"/>
      <c r="K582" s="27"/>
      <c r="L582" s="28"/>
    </row>
    <row r="583" spans="2:12">
      <c r="B583" s="25" t="s">
        <v>17</v>
      </c>
      <c r="C583" s="23"/>
      <c r="D583" s="23"/>
      <c r="E583" s="29"/>
      <c r="F583" s="27"/>
      <c r="G583" s="27"/>
      <c r="H583" s="27"/>
      <c r="I583" s="27"/>
      <c r="J583" s="27"/>
      <c r="K583" s="27"/>
      <c r="L583" s="28"/>
    </row>
  </sheetData>
  <mergeCells count="50">
    <mergeCell ref="B531:C531"/>
    <mergeCell ref="D531:F532"/>
    <mergeCell ref="G532:H532"/>
    <mergeCell ref="I532:J532"/>
    <mergeCell ref="K532:L532"/>
    <mergeCell ref="B471:C471"/>
    <mergeCell ref="D471:F472"/>
    <mergeCell ref="G472:H472"/>
    <mergeCell ref="I472:J472"/>
    <mergeCell ref="K472:L472"/>
    <mergeCell ref="B411:C411"/>
    <mergeCell ref="D411:F412"/>
    <mergeCell ref="G412:H412"/>
    <mergeCell ref="I412:J412"/>
    <mergeCell ref="K412:L412"/>
    <mergeCell ref="B351:C351"/>
    <mergeCell ref="D351:F352"/>
    <mergeCell ref="G352:H352"/>
    <mergeCell ref="I352:J352"/>
    <mergeCell ref="K352:L352"/>
    <mergeCell ref="B291:C291"/>
    <mergeCell ref="D291:F292"/>
    <mergeCell ref="G292:H292"/>
    <mergeCell ref="I292:J292"/>
    <mergeCell ref="K292:L292"/>
    <mergeCell ref="B57:C57"/>
    <mergeCell ref="D57:F58"/>
    <mergeCell ref="G58:H58"/>
    <mergeCell ref="I58:J58"/>
    <mergeCell ref="K58:L58"/>
    <mergeCell ref="D2:F3"/>
    <mergeCell ref="G3:H3"/>
    <mergeCell ref="I3:J3"/>
    <mergeCell ref="K3:L3"/>
    <mergeCell ref="B2:C2"/>
    <mergeCell ref="B114:C114"/>
    <mergeCell ref="D114:F115"/>
    <mergeCell ref="G115:H115"/>
    <mergeCell ref="I115:J115"/>
    <mergeCell ref="K115:L115"/>
    <mergeCell ref="B173:C173"/>
    <mergeCell ref="D173:F174"/>
    <mergeCell ref="G174:H174"/>
    <mergeCell ref="I174:J174"/>
    <mergeCell ref="K174:L174"/>
    <mergeCell ref="B232:C232"/>
    <mergeCell ref="D232:F233"/>
    <mergeCell ref="G233:H233"/>
    <mergeCell ref="I233:J233"/>
    <mergeCell ref="K233:L233"/>
  </mergeCells>
  <pageMargins left="0.66" right="0.22" top="0.47" bottom="0.56000000000000005" header="0.3" footer="0.3"/>
  <pageSetup paperSize="9" scale="88" orientation="portrait" horizontalDpi="300" verticalDpi="300" r:id="rId1"/>
  <rowBreaks count="3" manualBreakCount="3">
    <brk id="172" max="16383" man="1"/>
    <brk id="231" max="16383" man="1"/>
    <brk id="290" max="16383" man="1"/>
  </rowBreaks>
  <legacyDrawing r:id="rId2"/>
  <oleObjects>
    <oleObject progId="AutoCAD Drawing" shapeId="1036" r:id="rId3"/>
    <oleObject progId="AutoCAD Drawing" shapeId="1037" r:id="rId4"/>
    <oleObject progId="AutoCAD Drawing" shapeId="1039" r:id="rId5"/>
    <oleObject progId="AutoCAD Drawing" shapeId="1040" r:id="rId6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1712"/>
  <sheetViews>
    <sheetView view="pageBreakPreview" topLeftCell="B1" zoomScale="60" workbookViewId="0">
      <pane ySplit="14" topLeftCell="A1278" activePane="bottomLeft" state="frozen"/>
      <selection activeCell="B1" sqref="B1"/>
      <selection pane="bottomLeft" activeCell="K4" sqref="K4"/>
    </sheetView>
  </sheetViews>
  <sheetFormatPr defaultRowHeight="12.75"/>
  <cols>
    <col min="1" max="1" width="0" style="135" hidden="1" customWidth="1"/>
    <col min="2" max="2" width="14" style="135" customWidth="1"/>
    <col min="3" max="3" width="12.28515625" style="135" bestFit="1" customWidth="1"/>
    <col min="4" max="5" width="9.140625" style="135"/>
    <col min="6" max="6" width="35.85546875" style="135" customWidth="1"/>
    <col min="7" max="7" width="7.28515625" style="218" customWidth="1"/>
    <col min="8" max="8" width="17.5703125" style="135" customWidth="1"/>
    <col min="9" max="9" width="14.42578125" style="429" customWidth="1"/>
    <col min="10" max="10" width="17.85546875" style="135" customWidth="1"/>
    <col min="11" max="11" width="22.42578125" style="413" customWidth="1"/>
    <col min="12" max="12" width="23.42578125" style="135" customWidth="1"/>
    <col min="13" max="13" width="24" style="135" customWidth="1"/>
    <col min="14" max="14" width="23.5703125" style="135" customWidth="1"/>
    <col min="15" max="15" width="25.140625" style="413" customWidth="1"/>
    <col min="16" max="16" width="23.7109375" style="135" customWidth="1"/>
    <col min="17" max="17" width="30.5703125" style="135" bestFit="1" customWidth="1"/>
    <col min="18" max="18" width="11.42578125" style="135" bestFit="1" customWidth="1"/>
    <col min="19" max="19" width="19.85546875" style="135" bestFit="1" customWidth="1"/>
    <col min="20" max="20" width="14.28515625" style="135" customWidth="1"/>
    <col min="21" max="16384" width="9.140625" style="135"/>
  </cols>
  <sheetData>
    <row r="1" spans="1:20" ht="15" customHeight="1">
      <c r="B1" s="145"/>
      <c r="C1" s="145"/>
      <c r="D1" s="145"/>
      <c r="E1" s="145"/>
      <c r="F1" s="145"/>
      <c r="G1" s="219"/>
      <c r="H1" s="145"/>
      <c r="I1" s="827"/>
      <c r="J1" s="145"/>
      <c r="K1" s="827"/>
      <c r="L1" s="145"/>
      <c r="M1" s="145"/>
      <c r="N1" s="145"/>
      <c r="O1" s="827"/>
      <c r="P1" s="145"/>
    </row>
    <row r="2" spans="1:20" ht="33" customHeight="1">
      <c r="B2" s="145"/>
      <c r="C2" s="145"/>
      <c r="D2" s="145"/>
      <c r="E2" s="145"/>
      <c r="F2" s="145"/>
      <c r="G2" s="219"/>
      <c r="H2" s="439" t="s">
        <v>77</v>
      </c>
      <c r="I2" s="828"/>
      <c r="J2" s="383"/>
      <c r="K2" s="828"/>
      <c r="L2" s="369"/>
      <c r="M2" s="145"/>
      <c r="N2" s="145"/>
      <c r="O2" s="827"/>
      <c r="P2" s="145"/>
    </row>
    <row r="3" spans="1:20" ht="12.75" customHeight="1">
      <c r="B3" s="145"/>
      <c r="C3" s="145"/>
      <c r="D3" s="145"/>
      <c r="E3" s="145"/>
      <c r="F3" s="145"/>
      <c r="G3" s="219"/>
      <c r="H3" s="145"/>
      <c r="I3" s="827"/>
      <c r="J3" s="145"/>
      <c r="K3" s="827"/>
      <c r="L3" s="145"/>
      <c r="M3" s="145"/>
      <c r="N3" s="145"/>
      <c r="O3" s="827"/>
      <c r="P3" s="145"/>
    </row>
    <row r="4" spans="1:20" ht="20.25" customHeight="1">
      <c r="B4" s="161" t="s">
        <v>289</v>
      </c>
      <c r="C4" s="161"/>
      <c r="D4" s="161"/>
      <c r="E4" s="161"/>
      <c r="F4" s="161"/>
      <c r="G4" s="220"/>
      <c r="H4" s="145"/>
      <c r="I4" s="827"/>
      <c r="J4" s="145"/>
      <c r="K4" s="827"/>
      <c r="L4" s="145"/>
      <c r="M4" s="145"/>
      <c r="N4" s="145"/>
      <c r="O4" s="827"/>
      <c r="P4" s="145"/>
    </row>
    <row r="5" spans="1:20" ht="14.25">
      <c r="B5" s="161"/>
      <c r="C5" s="161"/>
      <c r="D5" s="161"/>
      <c r="E5" s="161"/>
      <c r="F5" s="161"/>
      <c r="G5" s="220"/>
      <c r="H5" s="145"/>
      <c r="I5" s="827"/>
      <c r="J5" s="145"/>
      <c r="K5" s="827"/>
      <c r="L5" s="145"/>
      <c r="M5" s="145"/>
      <c r="N5" s="145"/>
      <c r="O5" s="827"/>
      <c r="P5" s="145"/>
    </row>
    <row r="6" spans="1:20" ht="22.5">
      <c r="B6" s="161" t="s">
        <v>703</v>
      </c>
      <c r="C6" s="161"/>
      <c r="D6" s="161"/>
      <c r="E6" s="161"/>
      <c r="F6" s="161"/>
      <c r="G6" s="220"/>
      <c r="H6" s="145"/>
      <c r="I6" s="827"/>
      <c r="J6" s="145"/>
      <c r="K6" s="827"/>
      <c r="L6" s="145"/>
      <c r="M6" s="145"/>
      <c r="N6" s="458"/>
      <c r="O6" s="827"/>
      <c r="P6" s="145"/>
      <c r="Q6" s="328">
        <f>O317+O590+O802+O839+O852+O925</f>
        <v>1678066.9972717778</v>
      </c>
    </row>
    <row r="7" spans="1:20" ht="18">
      <c r="B7" s="161"/>
      <c r="C7" s="161"/>
      <c r="D7" s="161"/>
      <c r="E7" s="161"/>
      <c r="F7" s="161"/>
      <c r="G7" s="220"/>
      <c r="H7" s="145"/>
      <c r="I7" s="827"/>
      <c r="J7" s="145"/>
      <c r="K7" s="827"/>
      <c r="L7" s="145"/>
      <c r="M7" s="145"/>
      <c r="N7" s="145"/>
      <c r="O7" s="827"/>
      <c r="P7" s="145"/>
      <c r="S7" s="868"/>
    </row>
    <row r="8" spans="1:20" ht="18">
      <c r="B8" s="161" t="s">
        <v>702</v>
      </c>
      <c r="C8" s="161"/>
      <c r="D8" s="161"/>
      <c r="E8" s="161"/>
      <c r="F8" s="161"/>
      <c r="G8" s="220"/>
      <c r="H8" s="145"/>
      <c r="I8" s="827"/>
      <c r="J8" s="145"/>
      <c r="K8" s="827"/>
      <c r="L8" s="145"/>
      <c r="M8" s="145"/>
      <c r="N8" s="145"/>
      <c r="O8" s="827"/>
      <c r="P8" s="145"/>
      <c r="Q8" s="1170">
        <f>O925+O852+O839+O802+O590+O317</f>
        <v>1678066.9972717776</v>
      </c>
      <c r="S8" s="895"/>
      <c r="T8" s="328"/>
    </row>
    <row r="9" spans="1:20" ht="14.25">
      <c r="B9" s="161"/>
      <c r="C9" s="161"/>
      <c r="D9" s="161"/>
      <c r="E9" s="161"/>
      <c r="F9" s="161"/>
      <c r="G9" s="220"/>
      <c r="H9" s="145"/>
      <c r="I9" s="827"/>
      <c r="J9" s="145"/>
      <c r="K9" s="827"/>
      <c r="L9" s="145"/>
      <c r="M9" s="145"/>
      <c r="N9" s="145"/>
      <c r="O9" s="827"/>
      <c r="P9" s="145"/>
    </row>
    <row r="10" spans="1:20" ht="14.25">
      <c r="B10" s="161" t="s">
        <v>554</v>
      </c>
      <c r="C10" s="161"/>
      <c r="D10" s="161"/>
      <c r="E10" s="161"/>
      <c r="F10" s="161"/>
      <c r="G10" s="220"/>
      <c r="H10" s="145"/>
      <c r="I10" s="827"/>
      <c r="J10" s="145"/>
      <c r="K10" s="827"/>
      <c r="L10" s="145"/>
      <c r="M10" s="145"/>
      <c r="N10" s="145"/>
      <c r="O10" s="827"/>
      <c r="P10" s="145"/>
    </row>
    <row r="11" spans="1:20" ht="27.75" thickBot="1">
      <c r="B11" s="145"/>
      <c r="C11" s="145"/>
      <c r="D11" s="145"/>
      <c r="E11" s="145"/>
      <c r="F11" s="145"/>
      <c r="G11" s="219"/>
      <c r="H11" s="145"/>
      <c r="I11" s="827"/>
      <c r="J11" s="145"/>
      <c r="K11" s="827"/>
      <c r="L11" s="145"/>
      <c r="M11" s="145"/>
      <c r="N11" s="145"/>
      <c r="O11" s="827"/>
      <c r="P11" s="145"/>
      <c r="Q11" s="1151"/>
      <c r="S11" s="1090"/>
    </row>
    <row r="12" spans="1:20" ht="16.5" thickTop="1">
      <c r="A12" s="260"/>
      <c r="B12" s="387" t="s">
        <v>80</v>
      </c>
      <c r="C12" s="1397" t="s">
        <v>81</v>
      </c>
      <c r="D12" s="1398"/>
      <c r="E12" s="1398"/>
      <c r="F12" s="1399"/>
      <c r="G12" s="372" t="s">
        <v>82</v>
      </c>
      <c r="H12" s="373" t="s">
        <v>83</v>
      </c>
      <c r="I12" s="1400" t="s">
        <v>78</v>
      </c>
      <c r="J12" s="1401"/>
      <c r="K12" s="1401"/>
      <c r="L12" s="1403"/>
      <c r="M12" s="1400" t="s">
        <v>79</v>
      </c>
      <c r="N12" s="1401"/>
      <c r="O12" s="1401"/>
      <c r="P12" s="1402"/>
      <c r="S12" s="328"/>
    </row>
    <row r="13" spans="1:20" ht="15" customHeight="1">
      <c r="A13" s="260"/>
      <c r="B13" s="375"/>
      <c r="C13" s="1407"/>
      <c r="D13" s="1408"/>
      <c r="E13" s="1408"/>
      <c r="F13" s="1409"/>
      <c r="G13" s="388"/>
      <c r="H13" s="393"/>
      <c r="I13" s="414" t="s">
        <v>84</v>
      </c>
      <c r="J13" s="371" t="s">
        <v>138</v>
      </c>
      <c r="K13" s="401" t="s">
        <v>139</v>
      </c>
      <c r="L13" s="371" t="s">
        <v>140</v>
      </c>
      <c r="M13" s="371" t="s">
        <v>84</v>
      </c>
      <c r="N13" s="371" t="s">
        <v>138</v>
      </c>
      <c r="O13" s="401" t="s">
        <v>139</v>
      </c>
      <c r="P13" s="374" t="s">
        <v>140</v>
      </c>
      <c r="Q13" s="328"/>
      <c r="S13" s="328"/>
    </row>
    <row r="14" spans="1:20" ht="14.25" customHeight="1">
      <c r="A14" s="260"/>
      <c r="B14" s="376"/>
      <c r="C14" s="1410"/>
      <c r="D14" s="1411"/>
      <c r="E14" s="1411"/>
      <c r="F14" s="1412"/>
      <c r="G14" s="389"/>
      <c r="H14" s="394"/>
      <c r="I14" s="415"/>
      <c r="J14" s="389"/>
      <c r="K14" s="402"/>
      <c r="L14" s="389"/>
      <c r="M14" s="389"/>
      <c r="N14" s="389"/>
      <c r="O14" s="402"/>
      <c r="P14" s="386"/>
      <c r="Q14" s="868"/>
    </row>
    <row r="15" spans="1:20" ht="15.75">
      <c r="A15" s="260"/>
      <c r="B15" s="254"/>
      <c r="C15" s="261"/>
      <c r="D15" s="262"/>
      <c r="E15" s="262"/>
      <c r="F15" s="263"/>
      <c r="G15" s="264"/>
      <c r="H15" s="246"/>
      <c r="I15" s="416"/>
      <c r="J15" s="246"/>
      <c r="K15" s="403"/>
      <c r="L15" s="246"/>
      <c r="M15" s="246"/>
      <c r="N15" s="246"/>
      <c r="O15" s="403"/>
      <c r="P15" s="289"/>
    </row>
    <row r="16" spans="1:20" ht="18">
      <c r="A16" s="260"/>
      <c r="B16" s="118"/>
      <c r="C16" s="390" t="s">
        <v>85</v>
      </c>
      <c r="D16" s="391"/>
      <c r="E16" s="391"/>
      <c r="F16" s="392"/>
      <c r="G16" s="134"/>
      <c r="H16" s="120"/>
      <c r="I16" s="417"/>
      <c r="J16" s="120"/>
      <c r="K16" s="404"/>
      <c r="L16" s="120"/>
      <c r="M16" s="120"/>
      <c r="N16" s="120"/>
      <c r="O16" s="404"/>
      <c r="P16" s="121"/>
    </row>
    <row r="17" spans="1:16" s="610" customFormat="1" ht="18">
      <c r="A17" s="603"/>
      <c r="B17" s="604"/>
      <c r="C17" s="605" t="s">
        <v>86</v>
      </c>
      <c r="D17" s="605"/>
      <c r="E17" s="605"/>
      <c r="F17" s="606"/>
      <c r="G17" s="607"/>
      <c r="H17" s="608"/>
      <c r="I17" s="417"/>
      <c r="J17" s="608"/>
      <c r="K17" s="404"/>
      <c r="L17" s="608"/>
      <c r="M17" s="608"/>
      <c r="N17" s="608"/>
      <c r="O17" s="404"/>
      <c r="P17" s="609"/>
    </row>
    <row r="18" spans="1:16" ht="15.75">
      <c r="A18" s="260"/>
      <c r="B18" s="118"/>
      <c r="C18" s="124"/>
      <c r="D18" s="125"/>
      <c r="E18" s="125"/>
      <c r="F18" s="126"/>
      <c r="G18" s="134"/>
      <c r="H18" s="120"/>
      <c r="I18" s="417"/>
      <c r="J18" s="120"/>
      <c r="K18" s="404"/>
      <c r="L18" s="120"/>
      <c r="M18" s="120"/>
      <c r="N18" s="120"/>
      <c r="O18" s="404"/>
      <c r="P18" s="121"/>
    </row>
    <row r="19" spans="1:16" ht="15.75">
      <c r="A19" s="260"/>
      <c r="B19" s="118" t="s">
        <v>290</v>
      </c>
      <c r="C19" s="125" t="s">
        <v>87</v>
      </c>
      <c r="D19" s="125"/>
      <c r="E19" s="125"/>
      <c r="F19" s="126"/>
      <c r="G19" s="134" t="s">
        <v>88</v>
      </c>
      <c r="H19" s="120">
        <v>11363.68</v>
      </c>
      <c r="I19" s="417">
        <v>0.97</v>
      </c>
      <c r="J19" s="120">
        <v>0.95</v>
      </c>
      <c r="K19" s="404"/>
      <c r="L19" s="120">
        <f>J19+K19</f>
        <v>0.95</v>
      </c>
      <c r="M19" s="120">
        <f>H19*I19</f>
        <v>11022.7696</v>
      </c>
      <c r="N19" s="120">
        <f t="shared" ref="N19:N24" si="0">H19*J19</f>
        <v>10795.495999999999</v>
      </c>
      <c r="O19" s="404">
        <f>H19*K19</f>
        <v>0</v>
      </c>
      <c r="P19" s="127">
        <f>H19*L19</f>
        <v>10795.495999999999</v>
      </c>
    </row>
    <row r="20" spans="1:16" ht="15.75">
      <c r="A20" s="260"/>
      <c r="B20" s="118"/>
      <c r="C20" s="125"/>
      <c r="D20" s="125"/>
      <c r="E20" s="125"/>
      <c r="F20" s="126"/>
      <c r="G20" s="134"/>
      <c r="H20" s="120"/>
      <c r="I20" s="417"/>
      <c r="J20" s="120"/>
      <c r="K20" s="404"/>
      <c r="L20" s="120">
        <f>J20+K20</f>
        <v>0</v>
      </c>
      <c r="M20" s="120">
        <f>H20*I20</f>
        <v>0</v>
      </c>
      <c r="N20" s="120">
        <f t="shared" si="0"/>
        <v>0</v>
      </c>
      <c r="O20" s="404">
        <f>H20*K20</f>
        <v>0</v>
      </c>
      <c r="P20" s="127">
        <f>H20*L20</f>
        <v>0</v>
      </c>
    </row>
    <row r="21" spans="1:16" ht="15.75">
      <c r="A21" s="260"/>
      <c r="B21" s="118" t="s">
        <v>291</v>
      </c>
      <c r="C21" s="125" t="s">
        <v>294</v>
      </c>
      <c r="D21" s="125"/>
      <c r="E21" s="125"/>
      <c r="F21" s="126"/>
      <c r="G21" s="134" t="s">
        <v>141</v>
      </c>
      <c r="H21" s="120">
        <v>26.17</v>
      </c>
      <c r="I21" s="417">
        <v>218.03</v>
      </c>
      <c r="J21" s="120">
        <v>940.5</v>
      </c>
      <c r="K21" s="404"/>
      <c r="L21" s="120">
        <f>J21+K21</f>
        <v>940.5</v>
      </c>
      <c r="M21" s="120">
        <f>I21*H21</f>
        <v>5705.8451000000005</v>
      </c>
      <c r="N21" s="120">
        <f t="shared" si="0"/>
        <v>24612.885000000002</v>
      </c>
      <c r="O21" s="404"/>
      <c r="P21" s="127">
        <f>N21</f>
        <v>24612.885000000002</v>
      </c>
    </row>
    <row r="22" spans="1:16" ht="15.75">
      <c r="A22" s="260"/>
      <c r="B22" s="118"/>
      <c r="C22" s="125"/>
      <c r="D22" s="125"/>
      <c r="E22" s="125"/>
      <c r="F22" s="126"/>
      <c r="G22" s="134"/>
      <c r="H22" s="120"/>
      <c r="I22" s="417"/>
      <c r="J22" s="120"/>
      <c r="K22" s="404"/>
      <c r="L22" s="120"/>
      <c r="M22" s="120"/>
      <c r="N22" s="120">
        <f t="shared" si="0"/>
        <v>0</v>
      </c>
      <c r="O22" s="404"/>
      <c r="P22" s="127"/>
    </row>
    <row r="23" spans="1:16" ht="15.75">
      <c r="A23" s="260"/>
      <c r="B23" s="118" t="s">
        <v>292</v>
      </c>
      <c r="C23" s="125" t="s">
        <v>270</v>
      </c>
      <c r="D23" s="125"/>
      <c r="E23" s="125"/>
      <c r="F23" s="126"/>
      <c r="G23" s="134" t="s">
        <v>141</v>
      </c>
      <c r="H23" s="120">
        <v>26.11</v>
      </c>
      <c r="I23" s="417">
        <v>17019.7</v>
      </c>
      <c r="J23" s="120">
        <v>4799.07</v>
      </c>
      <c r="K23" s="404"/>
      <c r="L23" s="120">
        <f>J23+K23</f>
        <v>4799.07</v>
      </c>
      <c r="M23" s="120">
        <f>H23*I23</f>
        <v>444384.36700000003</v>
      </c>
      <c r="N23" s="120">
        <f>H23*J23</f>
        <v>125303.71769999999</v>
      </c>
      <c r="O23" s="404">
        <f>H23*K23</f>
        <v>0</v>
      </c>
      <c r="P23" s="127">
        <f>H23*L23</f>
        <v>125303.71769999999</v>
      </c>
    </row>
    <row r="24" spans="1:16" ht="15.75">
      <c r="A24" s="260"/>
      <c r="B24" s="118"/>
      <c r="C24" s="128"/>
      <c r="D24" s="129"/>
      <c r="E24" s="129"/>
      <c r="F24" s="130"/>
      <c r="G24" s="134"/>
      <c r="H24" s="119"/>
      <c r="I24" s="418"/>
      <c r="J24" s="119"/>
      <c r="K24" s="405"/>
      <c r="L24" s="119"/>
      <c r="M24" s="120">
        <f>H24*I24</f>
        <v>0</v>
      </c>
      <c r="N24" s="120">
        <f t="shared" si="0"/>
        <v>0</v>
      </c>
      <c r="O24" s="404">
        <f>H24*K24</f>
        <v>0</v>
      </c>
      <c r="P24" s="131"/>
    </row>
    <row r="25" spans="1:16" ht="15.75">
      <c r="A25" s="260"/>
      <c r="B25" s="118" t="s">
        <v>293</v>
      </c>
      <c r="C25" s="132" t="s">
        <v>227</v>
      </c>
      <c r="D25" s="129"/>
      <c r="E25" s="129"/>
      <c r="F25" s="130"/>
      <c r="G25" s="134" t="s">
        <v>141</v>
      </c>
      <c r="H25" s="120">
        <v>34.69</v>
      </c>
      <c r="I25" s="417">
        <v>23706.02</v>
      </c>
      <c r="J25" s="120">
        <v>9273.77</v>
      </c>
      <c r="K25" s="404"/>
      <c r="L25" s="120">
        <f>J25+K25</f>
        <v>9273.77</v>
      </c>
      <c r="M25" s="120">
        <f>H25*I25</f>
        <v>822361.83379999991</v>
      </c>
      <c r="N25" s="120">
        <f>H25*J25</f>
        <v>321707.08130000002</v>
      </c>
      <c r="O25" s="404">
        <f>H25*K25</f>
        <v>0</v>
      </c>
      <c r="P25" s="127">
        <f>H25*L25</f>
        <v>321707.08130000002</v>
      </c>
    </row>
    <row r="26" spans="1:16" ht="15.75">
      <c r="A26" s="260"/>
      <c r="B26" s="118"/>
      <c r="C26" s="132"/>
      <c r="D26" s="129"/>
      <c r="E26" s="129"/>
      <c r="F26" s="130"/>
      <c r="G26" s="399"/>
      <c r="H26" s="120"/>
      <c r="I26" s="417"/>
      <c r="J26" s="120"/>
      <c r="K26" s="404"/>
      <c r="L26" s="120"/>
      <c r="M26" s="120"/>
      <c r="N26" s="120"/>
      <c r="O26" s="404"/>
      <c r="P26" s="127"/>
    </row>
    <row r="27" spans="1:16" ht="15.75">
      <c r="A27" s="260"/>
      <c r="B27" s="118" t="s">
        <v>696</v>
      </c>
      <c r="C27" s="132" t="s">
        <v>864</v>
      </c>
      <c r="D27" s="129"/>
      <c r="E27" s="129"/>
      <c r="F27" s="130"/>
      <c r="G27" s="399" t="s">
        <v>141</v>
      </c>
      <c r="H27" s="120">
        <v>134.37</v>
      </c>
      <c r="I27" s="417"/>
      <c r="J27" s="120">
        <v>560.5</v>
      </c>
      <c r="K27" s="404"/>
      <c r="L27" s="120">
        <f t="shared" ref="L27:L32" si="1">J27+K27</f>
        <v>560.5</v>
      </c>
      <c r="M27" s="120"/>
      <c r="N27" s="120">
        <f t="shared" ref="N27" si="2">H27*J27</f>
        <v>75314.385000000009</v>
      </c>
      <c r="O27" s="404">
        <f>K27*H27</f>
        <v>0</v>
      </c>
      <c r="P27" s="127">
        <f t="shared" ref="P27:P35" si="3">H27*L27</f>
        <v>75314.385000000009</v>
      </c>
    </row>
    <row r="28" spans="1:16" ht="15.75">
      <c r="A28" s="260"/>
      <c r="B28" s="118"/>
      <c r="C28" s="128"/>
      <c r="D28" s="133"/>
      <c r="E28" s="133"/>
      <c r="F28" s="130"/>
      <c r="G28" s="134"/>
      <c r="H28" s="120"/>
      <c r="I28" s="417"/>
      <c r="J28" s="120"/>
      <c r="K28" s="404"/>
      <c r="L28" s="120">
        <f t="shared" si="1"/>
        <v>0</v>
      </c>
      <c r="M28" s="120"/>
      <c r="N28" s="120"/>
      <c r="O28" s="404"/>
      <c r="P28" s="127">
        <f t="shared" si="3"/>
        <v>0</v>
      </c>
    </row>
    <row r="29" spans="1:16" ht="15.75">
      <c r="A29" s="260"/>
      <c r="B29" s="118"/>
      <c r="C29" s="132" t="s">
        <v>295</v>
      </c>
      <c r="D29" s="129"/>
      <c r="E29" s="129"/>
      <c r="F29" s="130"/>
      <c r="G29" s="134"/>
      <c r="H29" s="120"/>
      <c r="I29" s="417"/>
      <c r="J29" s="120"/>
      <c r="K29" s="404"/>
      <c r="L29" s="120">
        <f t="shared" si="1"/>
        <v>0</v>
      </c>
      <c r="M29" s="120"/>
      <c r="N29" s="120"/>
      <c r="O29" s="404"/>
      <c r="P29" s="127">
        <f t="shared" si="3"/>
        <v>0</v>
      </c>
    </row>
    <row r="30" spans="1:16" ht="15.75">
      <c r="A30" s="260"/>
      <c r="B30" s="118"/>
      <c r="C30" s="132"/>
      <c r="D30" s="129"/>
      <c r="E30" s="129"/>
      <c r="F30" s="130"/>
      <c r="G30" s="134"/>
      <c r="H30" s="120"/>
      <c r="I30" s="417"/>
      <c r="J30" s="120"/>
      <c r="K30" s="404"/>
      <c r="L30" s="120">
        <f t="shared" si="1"/>
        <v>0</v>
      </c>
      <c r="M30" s="120"/>
      <c r="N30" s="120"/>
      <c r="O30" s="404"/>
      <c r="P30" s="127">
        <f t="shared" si="3"/>
        <v>0</v>
      </c>
    </row>
    <row r="31" spans="1:16" ht="15.75">
      <c r="A31" s="260"/>
      <c r="B31" s="118" t="s">
        <v>296</v>
      </c>
      <c r="C31" s="132" t="s">
        <v>297</v>
      </c>
      <c r="D31" s="129"/>
      <c r="E31" s="129"/>
      <c r="F31" s="130"/>
      <c r="G31" s="134"/>
      <c r="H31" s="120"/>
      <c r="I31" s="417"/>
      <c r="J31" s="120"/>
      <c r="K31" s="404"/>
      <c r="L31" s="120">
        <f t="shared" si="1"/>
        <v>0</v>
      </c>
      <c r="M31" s="120"/>
      <c r="N31" s="120"/>
      <c r="O31" s="404"/>
      <c r="P31" s="127">
        <f t="shared" si="3"/>
        <v>0</v>
      </c>
    </row>
    <row r="32" spans="1:16" ht="18">
      <c r="A32" s="260"/>
      <c r="B32" s="118"/>
      <c r="C32" s="132" t="s">
        <v>298</v>
      </c>
      <c r="D32" s="129"/>
      <c r="E32" s="129"/>
      <c r="F32" s="130"/>
      <c r="G32" s="134" t="s">
        <v>275</v>
      </c>
      <c r="H32" s="120">
        <v>26.11</v>
      </c>
      <c r="I32" s="417">
        <v>102.78</v>
      </c>
      <c r="J32" s="120">
        <v>627</v>
      </c>
      <c r="K32" s="404"/>
      <c r="L32" s="120">
        <f t="shared" si="1"/>
        <v>627</v>
      </c>
      <c r="M32" s="120">
        <f>H32*I32</f>
        <v>2683.5857999999998</v>
      </c>
      <c r="N32" s="120">
        <f>H32*J32</f>
        <v>16370.97</v>
      </c>
      <c r="O32" s="404">
        <f>H32*K32</f>
        <v>0</v>
      </c>
      <c r="P32" s="127">
        <f t="shared" si="3"/>
        <v>16370.97</v>
      </c>
    </row>
    <row r="33" spans="1:20" ht="15.75">
      <c r="A33" s="260"/>
      <c r="B33" s="118"/>
      <c r="C33" s="132"/>
      <c r="D33" s="129"/>
      <c r="E33" s="129"/>
      <c r="F33" s="130"/>
      <c r="G33" s="134"/>
      <c r="H33" s="120"/>
      <c r="I33" s="417"/>
      <c r="J33" s="120"/>
      <c r="K33" s="404"/>
      <c r="L33" s="120"/>
      <c r="M33" s="120"/>
      <c r="N33" s="120"/>
      <c r="O33" s="404"/>
      <c r="P33" s="127">
        <f t="shared" si="3"/>
        <v>0</v>
      </c>
    </row>
    <row r="34" spans="1:20" ht="15.75">
      <c r="A34" s="260"/>
      <c r="B34" s="118" t="s">
        <v>299</v>
      </c>
      <c r="C34" s="132" t="s">
        <v>300</v>
      </c>
      <c r="D34" s="129"/>
      <c r="E34" s="129"/>
      <c r="F34" s="130"/>
      <c r="G34" s="134"/>
      <c r="H34" s="120"/>
      <c r="I34" s="417"/>
      <c r="J34" s="120"/>
      <c r="K34" s="404"/>
      <c r="L34" s="120"/>
      <c r="M34" s="120"/>
      <c r="N34" s="120"/>
      <c r="O34" s="404"/>
      <c r="P34" s="127">
        <f t="shared" si="3"/>
        <v>0</v>
      </c>
      <c r="R34" s="133"/>
      <c r="S34" s="133"/>
      <c r="T34" s="130"/>
    </row>
    <row r="35" spans="1:20" ht="18">
      <c r="A35" s="260"/>
      <c r="B35" s="118"/>
      <c r="C35" s="132" t="s">
        <v>301</v>
      </c>
      <c r="D35" s="129"/>
      <c r="E35" s="129"/>
      <c r="F35" s="130"/>
      <c r="G35" s="134" t="s">
        <v>273</v>
      </c>
      <c r="H35" s="120">
        <v>1098.8</v>
      </c>
      <c r="I35" s="417">
        <v>10.28</v>
      </c>
      <c r="J35" s="120">
        <v>94.05</v>
      </c>
      <c r="K35" s="404"/>
      <c r="L35" s="120">
        <f>J35+K35</f>
        <v>94.05</v>
      </c>
      <c r="M35" s="120">
        <f>H35*I35</f>
        <v>11295.663999999999</v>
      </c>
      <c r="N35" s="120">
        <f>H35*J35</f>
        <v>103342.14</v>
      </c>
      <c r="O35" s="404">
        <f>H35*K35</f>
        <v>0</v>
      </c>
      <c r="P35" s="127">
        <f t="shared" si="3"/>
        <v>103342.14</v>
      </c>
    </row>
    <row r="36" spans="1:20" ht="15.75">
      <c r="A36" s="260"/>
      <c r="B36" s="118"/>
      <c r="C36" s="132"/>
      <c r="D36" s="129"/>
      <c r="E36" s="129"/>
      <c r="F36" s="130"/>
      <c r="G36" s="134"/>
      <c r="H36" s="120"/>
      <c r="I36" s="417"/>
      <c r="J36" s="120"/>
      <c r="K36" s="404"/>
      <c r="L36" s="120"/>
      <c r="M36" s="120"/>
      <c r="N36" s="120"/>
      <c r="O36" s="404"/>
      <c r="P36" s="127"/>
    </row>
    <row r="37" spans="1:20" ht="15.75">
      <c r="A37" s="260"/>
      <c r="B37" s="118" t="s">
        <v>302</v>
      </c>
      <c r="C37" s="132" t="s">
        <v>303</v>
      </c>
      <c r="D37" s="129"/>
      <c r="E37" s="129"/>
      <c r="F37" s="130"/>
      <c r="G37" s="134"/>
      <c r="H37" s="120"/>
      <c r="I37" s="417"/>
      <c r="J37" s="120"/>
      <c r="K37" s="404"/>
      <c r="L37" s="120"/>
      <c r="M37" s="120"/>
      <c r="N37" s="120"/>
      <c r="O37" s="404"/>
      <c r="P37" s="127"/>
    </row>
    <row r="38" spans="1:20" ht="18">
      <c r="A38" s="260"/>
      <c r="B38" s="118"/>
      <c r="C38" s="132" t="s">
        <v>304</v>
      </c>
      <c r="D38" s="129"/>
      <c r="E38" s="129"/>
      <c r="F38" s="130"/>
      <c r="G38" s="134" t="s">
        <v>275</v>
      </c>
      <c r="H38" s="120">
        <v>58.19</v>
      </c>
      <c r="I38" s="417">
        <v>17.25</v>
      </c>
      <c r="J38" s="120">
        <v>57</v>
      </c>
      <c r="K38" s="404"/>
      <c r="L38" s="120">
        <f>J38+K38</f>
        <v>57</v>
      </c>
      <c r="M38" s="120">
        <f>H38*I38</f>
        <v>1003.7774999999999</v>
      </c>
      <c r="N38" s="120">
        <f>H38*J38</f>
        <v>3316.83</v>
      </c>
      <c r="O38" s="404">
        <f>H38*K38</f>
        <v>0</v>
      </c>
      <c r="P38" s="127">
        <f>H38*L38</f>
        <v>3316.83</v>
      </c>
    </row>
    <row r="39" spans="1:20" ht="15.75">
      <c r="A39" s="260"/>
      <c r="B39" s="118"/>
      <c r="C39" s="132"/>
      <c r="D39" s="129"/>
      <c r="E39" s="129"/>
      <c r="F39" s="130"/>
      <c r="G39" s="134"/>
      <c r="H39" s="120"/>
      <c r="I39" s="417"/>
      <c r="J39" s="120"/>
      <c r="K39" s="404"/>
      <c r="L39" s="120"/>
      <c r="M39" s="120"/>
      <c r="N39" s="120"/>
      <c r="O39" s="404"/>
      <c r="P39" s="127"/>
    </row>
    <row r="40" spans="1:20" ht="15.75">
      <c r="A40" s="260"/>
      <c r="B40" s="118" t="s">
        <v>305</v>
      </c>
      <c r="C40" s="132" t="s">
        <v>306</v>
      </c>
      <c r="D40" s="129"/>
      <c r="E40" s="129"/>
      <c r="F40" s="130"/>
      <c r="G40" s="134"/>
      <c r="H40" s="120"/>
      <c r="I40" s="417"/>
      <c r="J40" s="120"/>
      <c r="K40" s="404"/>
      <c r="L40" s="120"/>
      <c r="M40" s="120"/>
      <c r="N40" s="120"/>
      <c r="O40" s="404"/>
      <c r="P40" s="127"/>
    </row>
    <row r="41" spans="1:20" ht="15.75">
      <c r="A41" s="260"/>
      <c r="B41" s="118"/>
      <c r="C41" s="132" t="s">
        <v>307</v>
      </c>
      <c r="D41" s="129"/>
      <c r="E41" s="129"/>
      <c r="F41" s="130"/>
      <c r="G41" s="134" t="s">
        <v>103</v>
      </c>
      <c r="H41" s="120">
        <v>2.56</v>
      </c>
      <c r="I41" s="417">
        <v>477.12</v>
      </c>
      <c r="J41" s="120">
        <v>2551.9499999999998</v>
      </c>
      <c r="K41" s="404"/>
      <c r="L41" s="120">
        <f>J41+K41</f>
        <v>2551.9499999999998</v>
      </c>
      <c r="M41" s="120">
        <f>H41*I41</f>
        <v>1221.4272000000001</v>
      </c>
      <c r="N41" s="120">
        <f>H41*J41</f>
        <v>6532.9919999999993</v>
      </c>
      <c r="O41" s="404">
        <f>H41*K41</f>
        <v>0</v>
      </c>
      <c r="P41" s="127">
        <f>H41*L41</f>
        <v>6532.9919999999993</v>
      </c>
    </row>
    <row r="42" spans="1:20" ht="15.75">
      <c r="A42" s="260"/>
      <c r="B42" s="118"/>
      <c r="C42" s="132"/>
      <c r="D42" s="129"/>
      <c r="E42" s="129"/>
      <c r="F42" s="130"/>
      <c r="G42" s="134"/>
      <c r="H42" s="120"/>
      <c r="I42" s="417"/>
      <c r="J42" s="120"/>
      <c r="K42" s="404"/>
      <c r="L42" s="120"/>
      <c r="M42" s="120"/>
      <c r="N42" s="120"/>
      <c r="O42" s="404"/>
      <c r="P42" s="127"/>
    </row>
    <row r="43" spans="1:20" ht="15.75">
      <c r="A43" s="260"/>
      <c r="B43" s="118"/>
      <c r="C43" s="132" t="s">
        <v>308</v>
      </c>
      <c r="D43" s="129"/>
      <c r="E43" s="129"/>
      <c r="F43" s="130"/>
      <c r="G43" s="134"/>
      <c r="H43" s="120"/>
      <c r="I43" s="417"/>
      <c r="J43" s="120"/>
      <c r="K43" s="404"/>
      <c r="L43" s="120"/>
      <c r="M43" s="120"/>
      <c r="N43" s="120"/>
      <c r="O43" s="404"/>
      <c r="P43" s="127"/>
    </row>
    <row r="44" spans="1:20" ht="15.75">
      <c r="A44" s="260"/>
      <c r="B44" s="118"/>
      <c r="C44" s="132"/>
      <c r="D44" s="129"/>
      <c r="E44" s="129"/>
      <c r="F44" s="130"/>
      <c r="G44" s="134"/>
      <c r="H44" s="120"/>
      <c r="I44" s="417"/>
      <c r="J44" s="120"/>
      <c r="K44" s="404"/>
      <c r="L44" s="120"/>
      <c r="M44" s="120"/>
      <c r="N44" s="120"/>
      <c r="O44" s="404"/>
      <c r="P44" s="127"/>
    </row>
    <row r="45" spans="1:20" ht="15.75">
      <c r="A45" s="260"/>
      <c r="B45" s="118" t="s">
        <v>296</v>
      </c>
      <c r="C45" s="132" t="s">
        <v>309</v>
      </c>
      <c r="D45" s="129"/>
      <c r="E45" s="129"/>
      <c r="F45" s="130"/>
      <c r="G45" s="134"/>
      <c r="H45" s="120"/>
      <c r="I45" s="417"/>
      <c r="J45" s="120"/>
      <c r="K45" s="404"/>
      <c r="L45" s="120"/>
      <c r="M45" s="120"/>
      <c r="N45" s="120"/>
      <c r="O45" s="404"/>
      <c r="P45" s="127"/>
    </row>
    <row r="46" spans="1:20" ht="15.75">
      <c r="A46" s="260"/>
      <c r="B46" s="118"/>
      <c r="C46" s="132" t="s">
        <v>310</v>
      </c>
      <c r="D46" s="129"/>
      <c r="E46" s="129"/>
      <c r="F46" s="130"/>
      <c r="G46" s="134"/>
      <c r="H46" s="120"/>
      <c r="I46" s="417"/>
      <c r="J46" s="120"/>
      <c r="K46" s="404"/>
      <c r="L46" s="120"/>
      <c r="M46" s="120"/>
      <c r="N46" s="120"/>
      <c r="O46" s="404"/>
      <c r="P46" s="127"/>
    </row>
    <row r="47" spans="1:20" ht="18">
      <c r="A47" s="260"/>
      <c r="B47" s="118"/>
      <c r="C47" s="132" t="s">
        <v>311</v>
      </c>
      <c r="D47" s="129"/>
      <c r="E47" s="129"/>
      <c r="F47" s="130"/>
      <c r="G47" s="134" t="s">
        <v>273</v>
      </c>
      <c r="H47" s="120">
        <v>578.54</v>
      </c>
      <c r="I47" s="417">
        <v>154.16999999999999</v>
      </c>
      <c r="J47" s="120">
        <v>506.9</v>
      </c>
      <c r="K47" s="404"/>
      <c r="L47" s="120">
        <f>J47+K47</f>
        <v>506.9</v>
      </c>
      <c r="M47" s="120">
        <f>H47*I47</f>
        <v>89193.511799999993</v>
      </c>
      <c r="N47" s="120">
        <f>H47*J47</f>
        <v>293261.92599999998</v>
      </c>
      <c r="O47" s="404">
        <f>H47*K47</f>
        <v>0</v>
      </c>
      <c r="P47" s="127">
        <f>H47*L47</f>
        <v>293261.92599999998</v>
      </c>
    </row>
    <row r="48" spans="1:20" ht="16.5" thickBot="1">
      <c r="A48" s="260"/>
      <c r="B48" s="251"/>
      <c r="C48" s="142"/>
      <c r="D48" s="159"/>
      <c r="E48" s="159"/>
      <c r="F48" s="143"/>
      <c r="G48" s="157"/>
      <c r="H48" s="158"/>
      <c r="I48" s="419"/>
      <c r="J48" s="158"/>
      <c r="K48" s="406"/>
      <c r="L48" s="158">
        <f>J48+K48</f>
        <v>0</v>
      </c>
      <c r="M48" s="158">
        <f>H48*I48</f>
        <v>0</v>
      </c>
      <c r="N48" s="158">
        <f>H48*J48</f>
        <v>0</v>
      </c>
      <c r="O48" s="406">
        <f>H48*K48</f>
        <v>0</v>
      </c>
      <c r="P48" s="160">
        <f>H48*L48</f>
        <v>0</v>
      </c>
    </row>
    <row r="49" spans="1:16" ht="17.25" thickTop="1" thickBot="1">
      <c r="A49" s="260"/>
      <c r="B49" s="257"/>
      <c r="C49" s="277" t="s">
        <v>312</v>
      </c>
      <c r="D49" s="278"/>
      <c r="E49" s="278"/>
      <c r="F49" s="278"/>
      <c r="G49" s="280"/>
      <c r="H49" s="281"/>
      <c r="I49" s="420"/>
      <c r="J49" s="281"/>
      <c r="K49" s="407"/>
      <c r="L49" s="259">
        <f t="shared" ref="L49" si="4">SUM(L18:L48)</f>
        <v>19411.690000000002</v>
      </c>
      <c r="M49" s="259">
        <f>SUM(M18:M48)</f>
        <v>1388872.7818000002</v>
      </c>
      <c r="N49" s="259">
        <f>SUM(N18:N48)</f>
        <v>980558.42299999995</v>
      </c>
      <c r="O49" s="407">
        <f>SUM(O18:O48)</f>
        <v>0</v>
      </c>
      <c r="P49" s="525">
        <f>SUM(P18:P48)</f>
        <v>980558.42299999995</v>
      </c>
    </row>
    <row r="50" spans="1:16" ht="16.5" thickTop="1">
      <c r="A50" s="260"/>
      <c r="B50" s="254"/>
      <c r="C50" s="286"/>
      <c r="D50" s="260"/>
      <c r="E50" s="260"/>
      <c r="F50" s="260"/>
      <c r="G50" s="264"/>
      <c r="H50" s="246"/>
      <c r="I50" s="416"/>
      <c r="J50" s="246"/>
      <c r="K50" s="403"/>
      <c r="L50" s="246"/>
      <c r="M50" s="256"/>
      <c r="N50" s="256"/>
      <c r="O50" s="635"/>
      <c r="P50" s="287"/>
    </row>
    <row r="51" spans="1:16" s="610" customFormat="1" ht="18">
      <c r="A51" s="603"/>
      <c r="B51" s="604"/>
      <c r="C51" s="611" t="s">
        <v>89</v>
      </c>
      <c r="D51" s="612"/>
      <c r="E51" s="612"/>
      <c r="F51" s="613"/>
      <c r="G51" s="614"/>
      <c r="H51" s="615"/>
      <c r="I51" s="417"/>
      <c r="J51" s="608"/>
      <c r="K51" s="404"/>
      <c r="L51" s="608"/>
      <c r="M51" s="608"/>
      <c r="N51" s="608"/>
      <c r="O51" s="404"/>
      <c r="P51" s="609"/>
    </row>
    <row r="52" spans="1:16" ht="15.75">
      <c r="A52" s="260"/>
      <c r="B52" s="118"/>
      <c r="C52" s="132"/>
      <c r="D52" s="129"/>
      <c r="E52" s="129"/>
      <c r="F52" s="130"/>
      <c r="G52" s="134"/>
      <c r="H52" s="120"/>
      <c r="I52" s="417"/>
      <c r="J52" s="120"/>
      <c r="K52" s="404"/>
      <c r="L52" s="120"/>
      <c r="M52" s="120"/>
      <c r="N52" s="120"/>
      <c r="O52" s="404"/>
      <c r="P52" s="121"/>
    </row>
    <row r="53" spans="1:16" ht="15.75">
      <c r="A53" s="260"/>
      <c r="B53" s="118"/>
      <c r="C53" s="128" t="s">
        <v>91</v>
      </c>
      <c r="D53" s="133"/>
      <c r="E53" s="133"/>
      <c r="F53" s="141"/>
      <c r="G53" s="221"/>
      <c r="H53" s="136"/>
      <c r="I53" s="417"/>
      <c r="J53" s="120"/>
      <c r="K53" s="404"/>
      <c r="L53" s="120"/>
      <c r="M53" s="120"/>
      <c r="N53" s="120"/>
      <c r="O53" s="404"/>
      <c r="P53" s="121"/>
    </row>
    <row r="54" spans="1:16" ht="15.75">
      <c r="A54" s="260"/>
      <c r="B54" s="118"/>
      <c r="C54" s="132"/>
      <c r="D54" s="129"/>
      <c r="E54" s="129"/>
      <c r="F54" s="130"/>
      <c r="G54" s="134"/>
      <c r="H54" s="120"/>
      <c r="I54" s="417"/>
      <c r="J54" s="120"/>
      <c r="K54" s="404"/>
      <c r="L54" s="120"/>
      <c r="M54" s="120"/>
      <c r="N54" s="120"/>
      <c r="O54" s="404"/>
      <c r="P54" s="121"/>
    </row>
    <row r="55" spans="1:16" ht="15.75">
      <c r="A55" s="260"/>
      <c r="B55" s="118" t="s">
        <v>143</v>
      </c>
      <c r="C55" s="132" t="s">
        <v>92</v>
      </c>
      <c r="D55" s="129"/>
      <c r="E55" s="129"/>
      <c r="F55" s="130"/>
      <c r="G55" s="134"/>
      <c r="H55" s="120"/>
      <c r="I55" s="417"/>
      <c r="J55" s="120"/>
      <c r="K55" s="404"/>
      <c r="L55" s="120"/>
      <c r="M55" s="120"/>
      <c r="N55" s="120"/>
      <c r="O55" s="404"/>
      <c r="P55" s="121"/>
    </row>
    <row r="56" spans="1:16" ht="18">
      <c r="A56" s="260"/>
      <c r="B56" s="118"/>
      <c r="C56" s="132" t="s">
        <v>93</v>
      </c>
      <c r="D56" s="129"/>
      <c r="E56" s="129"/>
      <c r="F56" s="130"/>
      <c r="G56" s="134" t="s">
        <v>273</v>
      </c>
      <c r="H56" s="120">
        <v>26.17</v>
      </c>
      <c r="I56" s="417">
        <v>240.29</v>
      </c>
      <c r="J56" s="120">
        <v>1651.78</v>
      </c>
      <c r="K56" s="404"/>
      <c r="L56" s="120">
        <f>J56+K56</f>
        <v>1651.78</v>
      </c>
      <c r="M56" s="120">
        <f>H56*I56</f>
        <v>6288.3892999999998</v>
      </c>
      <c r="N56" s="120">
        <f>H56*J56</f>
        <v>43227.082600000002</v>
      </c>
      <c r="O56" s="404">
        <f>H56*K56</f>
        <v>0</v>
      </c>
      <c r="P56" s="127">
        <f>H56*L56</f>
        <v>43227.082600000002</v>
      </c>
    </row>
    <row r="57" spans="1:16" ht="15.75">
      <c r="A57" s="260"/>
      <c r="B57" s="118"/>
      <c r="C57" s="132"/>
      <c r="D57" s="129"/>
      <c r="E57" s="129"/>
      <c r="F57" s="130"/>
      <c r="G57" s="134"/>
      <c r="H57" s="120"/>
      <c r="I57" s="417"/>
      <c r="J57" s="120"/>
      <c r="K57" s="404"/>
      <c r="L57" s="120"/>
      <c r="M57" s="120"/>
      <c r="N57" s="120"/>
      <c r="O57" s="404"/>
      <c r="P57" s="127"/>
    </row>
    <row r="58" spans="1:16" ht="15.75">
      <c r="A58" s="260"/>
      <c r="B58" s="118" t="s">
        <v>144</v>
      </c>
      <c r="C58" s="132" t="s">
        <v>94</v>
      </c>
      <c r="D58" s="129"/>
      <c r="E58" s="129"/>
      <c r="F58" s="130"/>
      <c r="G58" s="134"/>
      <c r="H58" s="120"/>
      <c r="I58" s="417"/>
      <c r="J58" s="120"/>
      <c r="K58" s="404"/>
      <c r="L58" s="120"/>
      <c r="M58" s="120"/>
      <c r="N58" s="120"/>
      <c r="O58" s="404"/>
      <c r="P58" s="127"/>
    </row>
    <row r="59" spans="1:16" ht="18">
      <c r="A59" s="260"/>
      <c r="B59" s="118"/>
      <c r="C59" s="132" t="s">
        <v>95</v>
      </c>
      <c r="D59" s="129"/>
      <c r="E59" s="129"/>
      <c r="F59" s="130"/>
      <c r="G59" s="134" t="s">
        <v>273</v>
      </c>
      <c r="H59" s="120">
        <v>48.12</v>
      </c>
      <c r="I59" s="417">
        <v>240.29</v>
      </c>
      <c r="J59" s="120">
        <v>545.66999999999996</v>
      </c>
      <c r="K59" s="404"/>
      <c r="L59" s="120">
        <f t="shared" ref="L59:L68" si="5">J59+K59</f>
        <v>545.66999999999996</v>
      </c>
      <c r="M59" s="120">
        <f>H59*I59</f>
        <v>11562.754799999999</v>
      </c>
      <c r="N59" s="120">
        <f t="shared" ref="N59:N68" si="6">H59*J59</f>
        <v>26257.640399999997</v>
      </c>
      <c r="O59" s="404">
        <f t="shared" ref="O59:O65" si="7">H59*K59</f>
        <v>0</v>
      </c>
      <c r="P59" s="127">
        <f t="shared" ref="P59:P65" si="8">H59*L59</f>
        <v>26257.640399999997</v>
      </c>
    </row>
    <row r="60" spans="1:16" ht="15.75">
      <c r="A60" s="260"/>
      <c r="B60" s="118"/>
      <c r="C60" s="132"/>
      <c r="D60" s="129"/>
      <c r="E60" s="129"/>
      <c r="F60" s="130"/>
      <c r="G60" s="134"/>
      <c r="H60" s="120"/>
      <c r="I60" s="417"/>
      <c r="J60" s="120"/>
      <c r="K60" s="404"/>
      <c r="L60" s="120">
        <f t="shared" si="5"/>
        <v>0</v>
      </c>
      <c r="M60" s="120"/>
      <c r="N60" s="120">
        <f t="shared" si="6"/>
        <v>0</v>
      </c>
      <c r="O60" s="404">
        <f t="shared" si="7"/>
        <v>0</v>
      </c>
      <c r="P60" s="127">
        <f t="shared" si="8"/>
        <v>0</v>
      </c>
    </row>
    <row r="61" spans="1:16" ht="15.75">
      <c r="A61" s="260"/>
      <c r="B61" s="118" t="s">
        <v>145</v>
      </c>
      <c r="C61" s="132" t="s">
        <v>96</v>
      </c>
      <c r="D61" s="129"/>
      <c r="E61" s="129"/>
      <c r="F61" s="130"/>
      <c r="G61" s="134"/>
      <c r="H61" s="120"/>
      <c r="I61" s="417"/>
      <c r="J61" s="120"/>
      <c r="K61" s="404"/>
      <c r="L61" s="120">
        <f t="shared" si="5"/>
        <v>0</v>
      </c>
      <c r="M61" s="120"/>
      <c r="N61" s="120">
        <f t="shared" si="6"/>
        <v>0</v>
      </c>
      <c r="O61" s="404">
        <f t="shared" si="7"/>
        <v>0</v>
      </c>
      <c r="P61" s="127">
        <f t="shared" si="8"/>
        <v>0</v>
      </c>
    </row>
    <row r="62" spans="1:16" ht="18">
      <c r="A62" s="260"/>
      <c r="B62" s="118"/>
      <c r="C62" s="132" t="s">
        <v>97</v>
      </c>
      <c r="D62" s="129"/>
      <c r="E62" s="129"/>
      <c r="F62" s="130"/>
      <c r="G62" s="134" t="s">
        <v>273</v>
      </c>
      <c r="H62" s="120">
        <v>72.180000000000007</v>
      </c>
      <c r="I62" s="417">
        <v>48.06</v>
      </c>
      <c r="J62" s="120">
        <v>327.39999999999998</v>
      </c>
      <c r="K62" s="404"/>
      <c r="L62" s="120">
        <f t="shared" si="5"/>
        <v>327.39999999999998</v>
      </c>
      <c r="M62" s="120">
        <f>H62*I62</f>
        <v>3468.9708000000005</v>
      </c>
      <c r="N62" s="120">
        <f t="shared" si="6"/>
        <v>23631.732</v>
      </c>
      <c r="O62" s="404">
        <f t="shared" si="7"/>
        <v>0</v>
      </c>
      <c r="P62" s="127">
        <f t="shared" si="8"/>
        <v>23631.732</v>
      </c>
    </row>
    <row r="63" spans="1:16" ht="15.75">
      <c r="A63" s="260"/>
      <c r="B63" s="118"/>
      <c r="C63" s="132"/>
      <c r="D63" s="129"/>
      <c r="E63" s="129"/>
      <c r="F63" s="130"/>
      <c r="G63" s="134"/>
      <c r="H63" s="120"/>
      <c r="I63" s="417"/>
      <c r="J63" s="120"/>
      <c r="K63" s="404"/>
      <c r="L63" s="120"/>
      <c r="M63" s="120">
        <f>H63*I63</f>
        <v>0</v>
      </c>
      <c r="N63" s="120">
        <f t="shared" si="6"/>
        <v>0</v>
      </c>
      <c r="O63" s="404">
        <f t="shared" si="7"/>
        <v>0</v>
      </c>
      <c r="P63" s="127">
        <f t="shared" si="8"/>
        <v>0</v>
      </c>
    </row>
    <row r="64" spans="1:16" ht="15.75">
      <c r="A64" s="260"/>
      <c r="B64" s="118"/>
      <c r="C64" s="132"/>
      <c r="D64" s="129"/>
      <c r="E64" s="129"/>
      <c r="F64" s="130"/>
      <c r="G64" s="134"/>
      <c r="H64" s="120"/>
      <c r="I64" s="417"/>
      <c r="J64" s="120"/>
      <c r="K64" s="404"/>
      <c r="L64" s="120"/>
      <c r="M64" s="120"/>
      <c r="N64" s="120"/>
      <c r="O64" s="404">
        <f t="shared" si="7"/>
        <v>0</v>
      </c>
      <c r="P64" s="127">
        <f t="shared" si="8"/>
        <v>0</v>
      </c>
    </row>
    <row r="65" spans="1:16" ht="15.75">
      <c r="A65" s="260"/>
      <c r="B65" s="118" t="s">
        <v>146</v>
      </c>
      <c r="C65" s="132" t="s">
        <v>98</v>
      </c>
      <c r="D65" s="129"/>
      <c r="E65" s="129"/>
      <c r="F65" s="130"/>
      <c r="G65" s="134"/>
      <c r="H65" s="120"/>
      <c r="I65" s="417"/>
      <c r="J65" s="120"/>
      <c r="K65" s="404"/>
      <c r="L65" s="120">
        <f t="shared" si="5"/>
        <v>0</v>
      </c>
      <c r="M65" s="120"/>
      <c r="N65" s="120">
        <f t="shared" si="6"/>
        <v>0</v>
      </c>
      <c r="O65" s="404">
        <f t="shared" si="7"/>
        <v>0</v>
      </c>
      <c r="P65" s="127">
        <f t="shared" si="8"/>
        <v>0</v>
      </c>
    </row>
    <row r="66" spans="1:16" ht="18">
      <c r="A66" s="260"/>
      <c r="B66" s="118"/>
      <c r="C66" s="132" t="s">
        <v>99</v>
      </c>
      <c r="D66" s="129"/>
      <c r="E66" s="129"/>
      <c r="F66" s="130"/>
      <c r="G66" s="134" t="s">
        <v>273</v>
      </c>
      <c r="H66" s="120">
        <v>34.11</v>
      </c>
      <c r="I66" s="417">
        <v>239.58</v>
      </c>
      <c r="J66" s="120">
        <v>0</v>
      </c>
      <c r="K66" s="404">
        <f>EMERGENCY!I20</f>
        <v>0</v>
      </c>
      <c r="L66" s="120">
        <f t="shared" si="5"/>
        <v>0</v>
      </c>
      <c r="M66" s="120">
        <f>H66*I66</f>
        <v>8172.0738000000001</v>
      </c>
      <c r="N66" s="120">
        <f t="shared" si="6"/>
        <v>0</v>
      </c>
      <c r="O66" s="404">
        <f>H66*K66</f>
        <v>0</v>
      </c>
      <c r="P66" s="127">
        <f>H66*L66</f>
        <v>0</v>
      </c>
    </row>
    <row r="67" spans="1:16" ht="15.75">
      <c r="A67" s="260"/>
      <c r="B67" s="118"/>
      <c r="C67" s="132"/>
      <c r="D67" s="129"/>
      <c r="E67" s="129"/>
      <c r="F67" s="130"/>
      <c r="G67" s="134"/>
      <c r="H67" s="120"/>
      <c r="I67" s="417"/>
      <c r="J67" s="120"/>
      <c r="K67" s="404"/>
      <c r="L67" s="120">
        <f t="shared" si="5"/>
        <v>0</v>
      </c>
      <c r="M67" s="120"/>
      <c r="N67" s="120">
        <f t="shared" si="6"/>
        <v>0</v>
      </c>
      <c r="O67" s="404">
        <f>H67*K67</f>
        <v>0</v>
      </c>
      <c r="P67" s="127">
        <f>H67*L67</f>
        <v>0</v>
      </c>
    </row>
    <row r="68" spans="1:16" ht="18">
      <c r="A68" s="260"/>
      <c r="B68" s="118" t="s">
        <v>147</v>
      </c>
      <c r="C68" s="132" t="s">
        <v>100</v>
      </c>
      <c r="D68" s="129"/>
      <c r="E68" s="129"/>
      <c r="F68" s="130"/>
      <c r="G68" s="134" t="s">
        <v>273</v>
      </c>
      <c r="H68" s="120">
        <v>34.69</v>
      </c>
      <c r="I68" s="417">
        <v>598.13</v>
      </c>
      <c r="J68" s="120">
        <v>2765.72</v>
      </c>
      <c r="K68" s="404"/>
      <c r="L68" s="120">
        <f t="shared" si="5"/>
        <v>2765.72</v>
      </c>
      <c r="M68" s="120">
        <f>H68*I68</f>
        <v>20749.129699999998</v>
      </c>
      <c r="N68" s="120">
        <f t="shared" si="6"/>
        <v>95942.826799999981</v>
      </c>
      <c r="O68" s="404">
        <f>H68*K68</f>
        <v>0</v>
      </c>
      <c r="P68" s="127">
        <f>H68*L68</f>
        <v>95942.826799999981</v>
      </c>
    </row>
    <row r="69" spans="1:16" ht="15.75">
      <c r="A69" s="260"/>
      <c r="B69" s="118"/>
      <c r="C69" s="132"/>
      <c r="D69" s="129"/>
      <c r="E69" s="133"/>
      <c r="F69" s="141"/>
      <c r="G69" s="221"/>
      <c r="H69" s="136"/>
      <c r="I69" s="417"/>
      <c r="J69" s="120"/>
      <c r="K69" s="404"/>
      <c r="L69" s="120"/>
      <c r="M69" s="120"/>
      <c r="N69" s="120"/>
      <c r="O69" s="404"/>
      <c r="P69" s="121"/>
    </row>
    <row r="70" spans="1:16" ht="15.75">
      <c r="A70" s="260"/>
      <c r="B70" s="118"/>
      <c r="C70" s="132"/>
      <c r="D70" s="129"/>
      <c r="E70" s="133" t="s">
        <v>228</v>
      </c>
      <c r="F70" s="141"/>
      <c r="G70" s="221"/>
      <c r="H70" s="136"/>
      <c r="I70" s="417"/>
      <c r="J70" s="120"/>
      <c r="K70" s="404"/>
      <c r="L70" s="120"/>
      <c r="M70" s="120"/>
      <c r="N70" s="120"/>
      <c r="O70" s="404"/>
      <c r="P70" s="121"/>
    </row>
    <row r="71" spans="1:16" ht="15.75">
      <c r="A71" s="260"/>
      <c r="B71" s="118" t="s">
        <v>229</v>
      </c>
      <c r="C71" s="132" t="s">
        <v>230</v>
      </c>
      <c r="D71" s="129"/>
      <c r="E71" s="133"/>
      <c r="F71" s="141"/>
      <c r="G71" s="221"/>
      <c r="H71" s="136"/>
      <c r="I71" s="417"/>
      <c r="J71" s="120"/>
      <c r="K71" s="404"/>
      <c r="L71" s="120"/>
      <c r="M71" s="120"/>
      <c r="N71" s="120"/>
      <c r="O71" s="404"/>
      <c r="P71" s="121"/>
    </row>
    <row r="72" spans="1:16" ht="18">
      <c r="A72" s="260"/>
      <c r="B72" s="118"/>
      <c r="C72" s="132" t="s">
        <v>274</v>
      </c>
      <c r="D72" s="129"/>
      <c r="E72" s="133"/>
      <c r="F72" s="141"/>
      <c r="G72" s="221"/>
      <c r="H72" s="136"/>
      <c r="I72" s="417"/>
      <c r="J72" s="120"/>
      <c r="K72" s="404"/>
      <c r="L72" s="120"/>
      <c r="M72" s="120"/>
      <c r="N72" s="120"/>
      <c r="O72" s="404"/>
      <c r="P72" s="121"/>
    </row>
    <row r="73" spans="1:16" ht="18">
      <c r="A73" s="260"/>
      <c r="B73" s="118"/>
      <c r="C73" s="132" t="s">
        <v>231</v>
      </c>
      <c r="D73" s="129"/>
      <c r="E73" s="133"/>
      <c r="F73" s="141"/>
      <c r="G73" s="134" t="s">
        <v>275</v>
      </c>
      <c r="H73" s="120">
        <v>35.47</v>
      </c>
      <c r="I73" s="417">
        <v>270.89999999999998</v>
      </c>
      <c r="J73" s="120">
        <v>270.89999999999998</v>
      </c>
      <c r="K73" s="404"/>
      <c r="L73" s="120">
        <f>K73+J73</f>
        <v>270.89999999999998</v>
      </c>
      <c r="M73" s="120">
        <f>H73*I73</f>
        <v>9608.8229999999985</v>
      </c>
      <c r="N73" s="120">
        <f>H73*J73</f>
        <v>9608.8229999999985</v>
      </c>
      <c r="O73" s="404">
        <f>H73*K73</f>
        <v>0</v>
      </c>
      <c r="P73" s="121">
        <f>L73*H73</f>
        <v>9608.8229999999985</v>
      </c>
    </row>
    <row r="74" spans="1:16" ht="15.75">
      <c r="A74" s="260"/>
      <c r="B74" s="118"/>
      <c r="C74" s="132"/>
      <c r="D74" s="129"/>
      <c r="E74" s="133"/>
      <c r="F74" s="141"/>
      <c r="G74" s="221"/>
      <c r="H74" s="120"/>
      <c r="I74" s="417"/>
      <c r="J74" s="120"/>
      <c r="K74" s="404"/>
      <c r="L74" s="120">
        <f t="shared" ref="L74:L91" si="9">K74+J74</f>
        <v>0</v>
      </c>
      <c r="M74" s="120">
        <f t="shared" ref="M74:M91" si="10">H74*I74</f>
        <v>0</v>
      </c>
      <c r="N74" s="120">
        <f t="shared" ref="N74:N91" si="11">H74*J74</f>
        <v>0</v>
      </c>
      <c r="O74" s="404">
        <f t="shared" ref="O74:O91" si="12">H74*K74</f>
        <v>0</v>
      </c>
      <c r="P74" s="121">
        <f t="shared" ref="P74:P91" si="13">L74*H74</f>
        <v>0</v>
      </c>
    </row>
    <row r="75" spans="1:16" ht="15.75">
      <c r="A75" s="260"/>
      <c r="B75" s="118" t="s">
        <v>232</v>
      </c>
      <c r="C75" s="132" t="s">
        <v>233</v>
      </c>
      <c r="D75" s="129"/>
      <c r="E75" s="133"/>
      <c r="F75" s="141"/>
      <c r="G75" s="221"/>
      <c r="H75" s="120"/>
      <c r="I75" s="417"/>
      <c r="J75" s="120"/>
      <c r="K75" s="404"/>
      <c r="L75" s="120">
        <f t="shared" si="9"/>
        <v>0</v>
      </c>
      <c r="M75" s="120">
        <f t="shared" si="10"/>
        <v>0</v>
      </c>
      <c r="N75" s="120">
        <f t="shared" si="11"/>
        <v>0</v>
      </c>
      <c r="O75" s="404">
        <f t="shared" si="12"/>
        <v>0</v>
      </c>
      <c r="P75" s="121">
        <f t="shared" si="13"/>
        <v>0</v>
      </c>
    </row>
    <row r="76" spans="1:16" ht="18">
      <c r="A76" s="260"/>
      <c r="B76" s="118"/>
      <c r="C76" s="132" t="s">
        <v>236</v>
      </c>
      <c r="D76" s="129"/>
      <c r="E76" s="133"/>
      <c r="F76" s="141"/>
      <c r="G76" s="134" t="s">
        <v>273</v>
      </c>
      <c r="H76" s="120">
        <v>1434.18</v>
      </c>
      <c r="I76" s="417">
        <v>58.08</v>
      </c>
      <c r="J76" s="120">
        <v>64.37</v>
      </c>
      <c r="K76" s="404"/>
      <c r="L76" s="120">
        <f t="shared" si="9"/>
        <v>64.37</v>
      </c>
      <c r="M76" s="120">
        <f t="shared" si="10"/>
        <v>83297.174400000004</v>
      </c>
      <c r="N76" s="120">
        <f t="shared" si="11"/>
        <v>92318.166600000011</v>
      </c>
      <c r="O76" s="404">
        <f t="shared" si="12"/>
        <v>0</v>
      </c>
      <c r="P76" s="121">
        <f t="shared" si="13"/>
        <v>92318.166600000011</v>
      </c>
    </row>
    <row r="77" spans="1:16" ht="18">
      <c r="A77" s="260"/>
      <c r="B77" s="118"/>
      <c r="C77" s="132" t="s">
        <v>237</v>
      </c>
      <c r="D77" s="129"/>
      <c r="E77" s="133"/>
      <c r="F77" s="141"/>
      <c r="G77" s="134" t="s">
        <v>275</v>
      </c>
      <c r="H77" s="120">
        <v>215.13</v>
      </c>
      <c r="I77" s="417">
        <v>208.8</v>
      </c>
      <c r="J77" s="120">
        <v>220.53</v>
      </c>
      <c r="K77" s="404"/>
      <c r="L77" s="120">
        <f t="shared" si="9"/>
        <v>220.53</v>
      </c>
      <c r="M77" s="120">
        <f t="shared" si="10"/>
        <v>44919.144</v>
      </c>
      <c r="N77" s="120">
        <f t="shared" si="11"/>
        <v>47442.618900000001</v>
      </c>
      <c r="O77" s="404">
        <f t="shared" si="12"/>
        <v>0</v>
      </c>
      <c r="P77" s="121">
        <f t="shared" si="13"/>
        <v>47442.618900000001</v>
      </c>
    </row>
    <row r="78" spans="1:16" ht="18">
      <c r="A78" s="260"/>
      <c r="B78" s="118"/>
      <c r="C78" s="132" t="s">
        <v>238</v>
      </c>
      <c r="D78" s="129"/>
      <c r="E78" s="133"/>
      <c r="F78" s="141"/>
      <c r="G78" s="134" t="s">
        <v>273</v>
      </c>
      <c r="H78" s="120">
        <v>1434.18</v>
      </c>
      <c r="I78" s="417">
        <v>77.72</v>
      </c>
      <c r="J78" s="120">
        <v>107.2</v>
      </c>
      <c r="K78" s="404"/>
      <c r="L78" s="120">
        <f t="shared" si="9"/>
        <v>107.2</v>
      </c>
      <c r="M78" s="120">
        <f t="shared" si="10"/>
        <v>111464.4696</v>
      </c>
      <c r="N78" s="120">
        <f t="shared" si="11"/>
        <v>153744.09600000002</v>
      </c>
      <c r="O78" s="404">
        <f t="shared" si="12"/>
        <v>0</v>
      </c>
      <c r="P78" s="121">
        <f t="shared" si="13"/>
        <v>153744.09600000002</v>
      </c>
    </row>
    <row r="79" spans="1:16" ht="15.75">
      <c r="A79" s="260"/>
      <c r="B79" s="118" t="s">
        <v>253</v>
      </c>
      <c r="C79" s="132" t="s">
        <v>239</v>
      </c>
      <c r="D79" s="129"/>
      <c r="E79" s="133"/>
      <c r="F79" s="141"/>
      <c r="G79" s="221"/>
      <c r="H79" s="120"/>
      <c r="I79" s="417"/>
      <c r="J79" s="120"/>
      <c r="K79" s="404"/>
      <c r="L79" s="120">
        <f t="shared" si="9"/>
        <v>0</v>
      </c>
      <c r="M79" s="120">
        <f t="shared" si="10"/>
        <v>0</v>
      </c>
      <c r="N79" s="120">
        <f t="shared" si="11"/>
        <v>0</v>
      </c>
      <c r="O79" s="404">
        <f t="shared" si="12"/>
        <v>0</v>
      </c>
      <c r="P79" s="121">
        <f t="shared" si="13"/>
        <v>0</v>
      </c>
    </row>
    <row r="80" spans="1:16" ht="15.75">
      <c r="A80" s="260"/>
      <c r="B80" s="118"/>
      <c r="C80" s="132" t="s">
        <v>240</v>
      </c>
      <c r="D80" s="129"/>
      <c r="E80" s="133"/>
      <c r="F80" s="141"/>
      <c r="G80" s="221"/>
      <c r="H80" s="120"/>
      <c r="I80" s="417"/>
      <c r="J80" s="120"/>
      <c r="K80" s="404"/>
      <c r="L80" s="120">
        <f t="shared" si="9"/>
        <v>0</v>
      </c>
      <c r="M80" s="120">
        <f t="shared" si="10"/>
        <v>0</v>
      </c>
      <c r="N80" s="120">
        <f t="shared" si="11"/>
        <v>0</v>
      </c>
      <c r="O80" s="404">
        <f t="shared" si="12"/>
        <v>0</v>
      </c>
      <c r="P80" s="121">
        <f t="shared" si="13"/>
        <v>0</v>
      </c>
    </row>
    <row r="81" spans="1:16" ht="18">
      <c r="A81" s="260"/>
      <c r="B81" s="118"/>
      <c r="C81" s="132" t="s">
        <v>242</v>
      </c>
      <c r="D81" s="129"/>
      <c r="E81" s="133"/>
      <c r="F81" s="141"/>
      <c r="G81" s="134" t="s">
        <v>275</v>
      </c>
      <c r="H81" s="120">
        <v>58.19</v>
      </c>
      <c r="I81" s="417">
        <v>51.68</v>
      </c>
      <c r="J81" s="120">
        <v>29.04</v>
      </c>
      <c r="K81" s="404"/>
      <c r="L81" s="120">
        <f t="shared" si="9"/>
        <v>29.04</v>
      </c>
      <c r="M81" s="120">
        <f t="shared" si="10"/>
        <v>3007.2592</v>
      </c>
      <c r="N81" s="120">
        <f t="shared" si="11"/>
        <v>1689.8375999999998</v>
      </c>
      <c r="O81" s="404">
        <f t="shared" si="12"/>
        <v>0</v>
      </c>
      <c r="P81" s="121">
        <f t="shared" si="13"/>
        <v>1689.8375999999998</v>
      </c>
    </row>
    <row r="82" spans="1:16" ht="18">
      <c r="A82" s="260"/>
      <c r="B82" s="118"/>
      <c r="C82" s="132" t="s">
        <v>241</v>
      </c>
      <c r="D82" s="129"/>
      <c r="E82" s="133"/>
      <c r="F82" s="141"/>
      <c r="G82" s="134" t="s">
        <v>275</v>
      </c>
      <c r="H82" s="120">
        <v>58.19</v>
      </c>
      <c r="I82" s="417">
        <v>388.6</v>
      </c>
      <c r="J82" s="120">
        <v>495.8</v>
      </c>
      <c r="K82" s="404"/>
      <c r="L82" s="120">
        <f t="shared" si="9"/>
        <v>495.8</v>
      </c>
      <c r="M82" s="120">
        <f t="shared" ref="M82:M89" si="14">H82*I82</f>
        <v>22612.634000000002</v>
      </c>
      <c r="N82" s="120">
        <f t="shared" si="11"/>
        <v>28850.601999999999</v>
      </c>
      <c r="O82" s="404">
        <f t="shared" si="12"/>
        <v>0</v>
      </c>
      <c r="P82" s="121">
        <f t="shared" si="13"/>
        <v>28850.601999999999</v>
      </c>
    </row>
    <row r="83" spans="1:16" ht="15.75">
      <c r="A83" s="260"/>
      <c r="B83" s="118"/>
      <c r="C83" s="132"/>
      <c r="D83" s="129"/>
      <c r="E83" s="133"/>
      <c r="F83" s="141"/>
      <c r="G83" s="221"/>
      <c r="H83" s="120"/>
      <c r="I83" s="417"/>
      <c r="J83" s="120"/>
      <c r="K83" s="404"/>
      <c r="L83" s="120">
        <f t="shared" si="9"/>
        <v>0</v>
      </c>
      <c r="M83" s="120">
        <f t="shared" si="14"/>
        <v>0</v>
      </c>
      <c r="N83" s="120">
        <f t="shared" si="11"/>
        <v>0</v>
      </c>
      <c r="O83" s="404">
        <f t="shared" si="12"/>
        <v>0</v>
      </c>
      <c r="P83" s="121">
        <f>L83*H83</f>
        <v>0</v>
      </c>
    </row>
    <row r="84" spans="1:16" ht="15.75">
      <c r="A84" s="260"/>
      <c r="B84" s="118" t="s">
        <v>252</v>
      </c>
      <c r="C84" s="132" t="s">
        <v>243</v>
      </c>
      <c r="D84" s="129"/>
      <c r="E84" s="133"/>
      <c r="F84" s="141"/>
      <c r="G84" s="221"/>
      <c r="H84" s="120"/>
      <c r="I84" s="417"/>
      <c r="J84" s="120"/>
      <c r="K84" s="404"/>
      <c r="L84" s="120">
        <f t="shared" si="9"/>
        <v>0</v>
      </c>
      <c r="M84" s="120">
        <f t="shared" si="14"/>
        <v>0</v>
      </c>
      <c r="N84" s="120">
        <f t="shared" si="11"/>
        <v>0</v>
      </c>
      <c r="O84" s="404">
        <f t="shared" si="12"/>
        <v>0</v>
      </c>
      <c r="P84" s="121">
        <f t="shared" si="13"/>
        <v>0</v>
      </c>
    </row>
    <row r="85" spans="1:16" ht="15.75">
      <c r="A85" s="260"/>
      <c r="B85" s="118"/>
      <c r="C85" s="132" t="s">
        <v>244</v>
      </c>
      <c r="D85" s="129"/>
      <c r="E85" s="133"/>
      <c r="F85" s="141"/>
      <c r="G85" s="221"/>
      <c r="H85" s="120"/>
      <c r="I85" s="417"/>
      <c r="J85" s="120"/>
      <c r="K85" s="404"/>
      <c r="L85" s="120">
        <f t="shared" si="9"/>
        <v>0</v>
      </c>
      <c r="M85" s="120">
        <f t="shared" si="14"/>
        <v>0</v>
      </c>
      <c r="N85" s="120">
        <f t="shared" si="11"/>
        <v>0</v>
      </c>
      <c r="O85" s="404">
        <f t="shared" si="12"/>
        <v>0</v>
      </c>
      <c r="P85" s="121">
        <f t="shared" si="13"/>
        <v>0</v>
      </c>
    </row>
    <row r="86" spans="1:16" ht="15.75">
      <c r="A86" s="260"/>
      <c r="B86" s="118"/>
      <c r="C86" s="132" t="s">
        <v>314</v>
      </c>
      <c r="D86" s="129"/>
      <c r="E86" s="133"/>
      <c r="F86" s="141"/>
      <c r="G86" s="134" t="s">
        <v>103</v>
      </c>
      <c r="H86" s="120">
        <v>2.02</v>
      </c>
      <c r="I86" s="417">
        <v>0</v>
      </c>
      <c r="J86" s="120">
        <v>287.77</v>
      </c>
      <c r="K86" s="404"/>
      <c r="L86" s="120">
        <f t="shared" si="9"/>
        <v>287.77</v>
      </c>
      <c r="M86" s="120">
        <f t="shared" si="14"/>
        <v>0</v>
      </c>
      <c r="N86" s="120">
        <f t="shared" si="11"/>
        <v>581.29539999999997</v>
      </c>
      <c r="O86" s="404">
        <f t="shared" si="12"/>
        <v>0</v>
      </c>
      <c r="P86" s="121">
        <f t="shared" si="13"/>
        <v>581.29539999999997</v>
      </c>
    </row>
    <row r="87" spans="1:16" ht="15.75">
      <c r="A87" s="260"/>
      <c r="B87" s="118"/>
      <c r="C87" s="132" t="s">
        <v>313</v>
      </c>
      <c r="D87" s="129"/>
      <c r="E87" s="133"/>
      <c r="F87" s="141"/>
      <c r="G87" s="134" t="s">
        <v>103</v>
      </c>
      <c r="H87" s="120">
        <v>2.02</v>
      </c>
      <c r="I87" s="417">
        <v>26144.86</v>
      </c>
      <c r="J87" s="120">
        <v>10453.540000000001</v>
      </c>
      <c r="K87" s="404"/>
      <c r="L87" s="120">
        <f t="shared" si="9"/>
        <v>10453.540000000001</v>
      </c>
      <c r="M87" s="120">
        <f t="shared" si="14"/>
        <v>52812.617200000001</v>
      </c>
      <c r="N87" s="120">
        <f t="shared" si="11"/>
        <v>21116.150800000003</v>
      </c>
      <c r="O87" s="404">
        <f t="shared" si="12"/>
        <v>0</v>
      </c>
      <c r="P87" s="121">
        <f t="shared" si="13"/>
        <v>21116.150800000003</v>
      </c>
    </row>
    <row r="88" spans="1:16" ht="15.75">
      <c r="A88" s="260"/>
      <c r="B88" s="118"/>
      <c r="C88" s="132" t="s">
        <v>315</v>
      </c>
      <c r="D88" s="129"/>
      <c r="E88" s="133"/>
      <c r="F88" s="141"/>
      <c r="G88" s="134" t="s">
        <v>103</v>
      </c>
      <c r="H88" s="120">
        <v>2.02</v>
      </c>
      <c r="I88" s="417">
        <v>0</v>
      </c>
      <c r="J88" s="120">
        <v>4399.4399999999996</v>
      </c>
      <c r="K88" s="404"/>
      <c r="L88" s="120">
        <f t="shared" si="9"/>
        <v>4399.4399999999996</v>
      </c>
      <c r="M88" s="120">
        <f t="shared" si="14"/>
        <v>0</v>
      </c>
      <c r="N88" s="120">
        <f t="shared" si="11"/>
        <v>8886.8687999999984</v>
      </c>
      <c r="O88" s="404">
        <f t="shared" si="12"/>
        <v>0</v>
      </c>
      <c r="P88" s="121">
        <f t="shared" si="13"/>
        <v>8886.8687999999984</v>
      </c>
    </row>
    <row r="89" spans="1:16" ht="15.75">
      <c r="A89" s="260"/>
      <c r="B89" s="118"/>
      <c r="C89" s="132" t="s">
        <v>246</v>
      </c>
      <c r="D89" s="129"/>
      <c r="E89" s="133"/>
      <c r="F89" s="141"/>
      <c r="G89" s="134" t="s">
        <v>103</v>
      </c>
      <c r="H89" s="120">
        <v>2.02</v>
      </c>
      <c r="I89" s="417">
        <v>26139.7</v>
      </c>
      <c r="J89" s="120">
        <v>8030.97</v>
      </c>
      <c r="K89" s="404"/>
      <c r="L89" s="120">
        <f t="shared" si="9"/>
        <v>8030.97</v>
      </c>
      <c r="M89" s="120">
        <f t="shared" si="14"/>
        <v>52802.194000000003</v>
      </c>
      <c r="N89" s="120">
        <f t="shared" si="11"/>
        <v>16222.5594</v>
      </c>
      <c r="O89" s="404">
        <f t="shared" si="12"/>
        <v>0</v>
      </c>
      <c r="P89" s="121">
        <f t="shared" si="13"/>
        <v>16222.5594</v>
      </c>
    </row>
    <row r="90" spans="1:16" ht="15.75">
      <c r="A90" s="260"/>
      <c r="B90" s="118" t="s">
        <v>251</v>
      </c>
      <c r="C90" s="132" t="s">
        <v>249</v>
      </c>
      <c r="D90" s="129"/>
      <c r="E90" s="133"/>
      <c r="F90" s="141"/>
      <c r="G90" s="221"/>
      <c r="H90" s="120"/>
      <c r="I90" s="417"/>
      <c r="J90" s="120"/>
      <c r="K90" s="404"/>
      <c r="L90" s="120">
        <f t="shared" si="9"/>
        <v>0</v>
      </c>
      <c r="M90" s="120">
        <f t="shared" si="10"/>
        <v>0</v>
      </c>
      <c r="N90" s="120">
        <f t="shared" si="11"/>
        <v>0</v>
      </c>
      <c r="O90" s="404">
        <f t="shared" si="12"/>
        <v>0</v>
      </c>
      <c r="P90" s="121">
        <f t="shared" si="13"/>
        <v>0</v>
      </c>
    </row>
    <row r="91" spans="1:16" ht="16.5" thickBot="1">
      <c r="A91" s="260"/>
      <c r="B91" s="118"/>
      <c r="C91" s="132" t="s">
        <v>250</v>
      </c>
      <c r="D91" s="129"/>
      <c r="E91" s="133"/>
      <c r="F91" s="141"/>
      <c r="G91" s="134" t="s">
        <v>254</v>
      </c>
      <c r="H91" s="120">
        <v>235</v>
      </c>
      <c r="I91" s="417">
        <v>10.5</v>
      </c>
      <c r="J91" s="120">
        <v>115.77</v>
      </c>
      <c r="K91" s="404"/>
      <c r="L91" s="120">
        <f t="shared" si="9"/>
        <v>115.77</v>
      </c>
      <c r="M91" s="120">
        <f t="shared" si="10"/>
        <v>2467.5</v>
      </c>
      <c r="N91" s="120">
        <f t="shared" si="11"/>
        <v>27205.95</v>
      </c>
      <c r="O91" s="404">
        <f t="shared" si="12"/>
        <v>0</v>
      </c>
      <c r="P91" s="121">
        <f t="shared" si="13"/>
        <v>27205.95</v>
      </c>
    </row>
    <row r="92" spans="1:16" ht="17.25" thickTop="1" thickBot="1">
      <c r="A92" s="260"/>
      <c r="B92" s="257"/>
      <c r="C92" s="368" t="s">
        <v>312</v>
      </c>
      <c r="D92" s="288"/>
      <c r="E92" s="288"/>
      <c r="F92" s="288"/>
      <c r="G92" s="258"/>
      <c r="H92" s="259"/>
      <c r="I92" s="421"/>
      <c r="J92" s="259"/>
      <c r="K92" s="407"/>
      <c r="L92" s="259">
        <f t="shared" ref="L92:P92" si="15">SUM(L56:L91)</f>
        <v>29765.9</v>
      </c>
      <c r="M92" s="259">
        <f t="shared" si="15"/>
        <v>433233.13379999995</v>
      </c>
      <c r="N92" s="259">
        <f t="shared" si="15"/>
        <v>596726.25030000007</v>
      </c>
      <c r="O92" s="407">
        <f t="shared" si="15"/>
        <v>0</v>
      </c>
      <c r="P92" s="525">
        <f t="shared" si="15"/>
        <v>596726.25030000007</v>
      </c>
    </row>
    <row r="93" spans="1:16" s="610" customFormat="1" ht="39" customHeight="1" thickTop="1">
      <c r="A93" s="603"/>
      <c r="B93" s="604"/>
      <c r="C93" s="1404" t="s">
        <v>570</v>
      </c>
      <c r="D93" s="1405"/>
      <c r="E93" s="1405"/>
      <c r="F93" s="1406"/>
      <c r="G93" s="614"/>
      <c r="H93" s="615"/>
      <c r="I93" s="422"/>
      <c r="J93" s="615"/>
      <c r="K93" s="408"/>
      <c r="L93" s="615"/>
      <c r="M93" s="615"/>
      <c r="N93" s="615"/>
      <c r="O93" s="408"/>
      <c r="P93" s="616"/>
    </row>
    <row r="94" spans="1:16" ht="16.5">
      <c r="A94" s="260"/>
      <c r="B94" s="118"/>
      <c r="C94" s="322" t="s">
        <v>564</v>
      </c>
      <c r="D94" s="323"/>
      <c r="E94" s="152"/>
      <c r="F94" s="153"/>
      <c r="G94" s="221"/>
      <c r="H94" s="136"/>
      <c r="I94" s="422"/>
      <c r="J94" s="136"/>
      <c r="K94" s="408"/>
      <c r="L94" s="136"/>
      <c r="M94" s="136"/>
      <c r="N94" s="136"/>
      <c r="O94" s="408"/>
      <c r="P94" s="137"/>
    </row>
    <row r="95" spans="1:16" ht="16.5">
      <c r="A95" s="260"/>
      <c r="B95" s="118"/>
      <c r="C95" s="322"/>
      <c r="D95" s="323"/>
      <c r="E95" s="152"/>
      <c r="F95" s="153"/>
      <c r="G95" s="221"/>
      <c r="H95" s="136"/>
      <c r="I95" s="422"/>
      <c r="J95" s="136"/>
      <c r="K95" s="408"/>
      <c r="L95" s="136"/>
      <c r="M95" s="136"/>
      <c r="N95" s="136"/>
      <c r="O95" s="408"/>
      <c r="P95" s="137"/>
    </row>
    <row r="96" spans="1:16" ht="36" customHeight="1">
      <c r="A96" s="260"/>
      <c r="B96" s="118" t="s">
        <v>571</v>
      </c>
      <c r="C96" s="1388" t="s">
        <v>572</v>
      </c>
      <c r="D96" s="1389"/>
      <c r="E96" s="1389"/>
      <c r="F96" s="1390"/>
      <c r="G96" s="134" t="s">
        <v>273</v>
      </c>
      <c r="H96" s="134">
        <v>26.17</v>
      </c>
      <c r="I96" s="629">
        <v>73.527349999999998</v>
      </c>
      <c r="J96" s="120">
        <v>89.52</v>
      </c>
      <c r="K96" s="404"/>
      <c r="L96" s="120">
        <f>K96+J96</f>
        <v>89.52</v>
      </c>
      <c r="M96" s="120">
        <f>H96*I96</f>
        <v>1924.2107495</v>
      </c>
      <c r="N96" s="120">
        <f>H96*J96</f>
        <v>2342.7384000000002</v>
      </c>
      <c r="O96" s="404">
        <f>H96*K96</f>
        <v>0</v>
      </c>
      <c r="P96" s="127">
        <f>L96*H96</f>
        <v>2342.7384000000002</v>
      </c>
    </row>
    <row r="97" spans="1:16" ht="15.75">
      <c r="A97" s="260"/>
      <c r="B97" s="118"/>
      <c r="C97" s="324"/>
      <c r="D97" s="325"/>
      <c r="E97" s="152"/>
      <c r="F97" s="153"/>
      <c r="G97" s="221"/>
      <c r="H97" s="221"/>
      <c r="I97" s="424"/>
      <c r="J97" s="120"/>
      <c r="K97" s="404"/>
      <c r="L97" s="120">
        <f t="shared" ref="L97:L114" si="16">K97+J97</f>
        <v>0</v>
      </c>
      <c r="M97" s="120">
        <f t="shared" ref="M97:M114" si="17">H97*I97</f>
        <v>0</v>
      </c>
      <c r="N97" s="120">
        <f t="shared" ref="N97:N114" si="18">H97*J97</f>
        <v>0</v>
      </c>
      <c r="O97" s="404">
        <f t="shared" ref="O97:O114" si="19">H97*K97</f>
        <v>0</v>
      </c>
      <c r="P97" s="127">
        <f t="shared" ref="P97:P114" si="20">L97*H97</f>
        <v>0</v>
      </c>
    </row>
    <row r="98" spans="1:16" ht="15.75" customHeight="1">
      <c r="A98" s="260"/>
      <c r="B98" s="118" t="s">
        <v>573</v>
      </c>
      <c r="C98" s="1388" t="s">
        <v>574</v>
      </c>
      <c r="D98" s="1389"/>
      <c r="E98" s="1389"/>
      <c r="F98" s="1390"/>
      <c r="G98" s="134" t="s">
        <v>273</v>
      </c>
      <c r="H98" s="134">
        <v>101.87</v>
      </c>
      <c r="I98" s="423">
        <v>17.93</v>
      </c>
      <c r="J98" s="120">
        <v>89.52</v>
      </c>
      <c r="K98" s="404"/>
      <c r="L98" s="120">
        <f>K98+J98</f>
        <v>89.52</v>
      </c>
      <c r="M98" s="120">
        <f t="shared" si="17"/>
        <v>1826.5291</v>
      </c>
      <c r="N98" s="120">
        <f t="shared" si="18"/>
        <v>9119.4024000000009</v>
      </c>
      <c r="O98" s="404">
        <f t="shared" si="19"/>
        <v>0</v>
      </c>
      <c r="P98" s="127">
        <f t="shared" si="20"/>
        <v>9119.4024000000009</v>
      </c>
    </row>
    <row r="99" spans="1:16" ht="15.75">
      <c r="A99" s="260"/>
      <c r="B99" s="118"/>
      <c r="C99" s="326"/>
      <c r="D99" s="327"/>
      <c r="E99" s="152"/>
      <c r="F99" s="153"/>
      <c r="G99" s="221"/>
      <c r="H99" s="221"/>
      <c r="I99" s="424"/>
      <c r="J99" s="120"/>
      <c r="K99" s="404"/>
      <c r="L99" s="120">
        <f t="shared" si="16"/>
        <v>0</v>
      </c>
      <c r="M99" s="120">
        <f t="shared" si="17"/>
        <v>0</v>
      </c>
      <c r="N99" s="120">
        <f t="shared" si="18"/>
        <v>0</v>
      </c>
      <c r="O99" s="404">
        <f t="shared" si="19"/>
        <v>0</v>
      </c>
      <c r="P99" s="127">
        <f t="shared" si="20"/>
        <v>0</v>
      </c>
    </row>
    <row r="100" spans="1:16" ht="15.75" customHeight="1">
      <c r="A100" s="260"/>
      <c r="B100" s="118" t="s">
        <v>575</v>
      </c>
      <c r="C100" s="1388" t="s">
        <v>576</v>
      </c>
      <c r="D100" s="1389"/>
      <c r="E100" s="1389"/>
      <c r="F100" s="1390"/>
      <c r="G100" s="134" t="s">
        <v>273</v>
      </c>
      <c r="H100" s="134">
        <v>34.11</v>
      </c>
      <c r="I100" s="423">
        <v>91.91</v>
      </c>
      <c r="J100" s="120">
        <v>89.52</v>
      </c>
      <c r="K100" s="404"/>
      <c r="L100" s="120">
        <f t="shared" si="16"/>
        <v>89.52</v>
      </c>
      <c r="M100" s="120">
        <f t="shared" si="17"/>
        <v>3135.0500999999999</v>
      </c>
      <c r="N100" s="120">
        <f t="shared" si="18"/>
        <v>3053.5272</v>
      </c>
      <c r="O100" s="404">
        <f t="shared" si="19"/>
        <v>0</v>
      </c>
      <c r="P100" s="127">
        <f t="shared" si="20"/>
        <v>3053.5272</v>
      </c>
    </row>
    <row r="101" spans="1:16" ht="15.75">
      <c r="A101" s="260"/>
      <c r="B101" s="118"/>
      <c r="C101" s="326"/>
      <c r="D101" s="327"/>
      <c r="E101" s="152"/>
      <c r="F101" s="153"/>
      <c r="G101" s="221"/>
      <c r="H101" s="221"/>
      <c r="I101" s="424"/>
      <c r="J101" s="120"/>
      <c r="K101" s="404"/>
      <c r="L101" s="120">
        <f t="shared" si="16"/>
        <v>0</v>
      </c>
      <c r="M101" s="120">
        <f t="shared" si="17"/>
        <v>0</v>
      </c>
      <c r="N101" s="120">
        <f t="shared" si="18"/>
        <v>0</v>
      </c>
      <c r="O101" s="404">
        <f t="shared" si="19"/>
        <v>0</v>
      </c>
      <c r="P101" s="127">
        <f t="shared" si="20"/>
        <v>0</v>
      </c>
    </row>
    <row r="102" spans="1:16" ht="15.75" customHeight="1">
      <c r="A102" s="260"/>
      <c r="B102" s="118"/>
      <c r="C102" s="1385" t="s">
        <v>577</v>
      </c>
      <c r="D102" s="1386"/>
      <c r="E102" s="1386"/>
      <c r="F102" s="1387"/>
      <c r="G102" s="221"/>
      <c r="H102" s="221"/>
      <c r="I102" s="424"/>
      <c r="J102" s="120"/>
      <c r="K102" s="404"/>
      <c r="L102" s="120">
        <f t="shared" si="16"/>
        <v>0</v>
      </c>
      <c r="M102" s="120">
        <f t="shared" si="17"/>
        <v>0</v>
      </c>
      <c r="N102" s="120">
        <f t="shared" si="18"/>
        <v>0</v>
      </c>
      <c r="O102" s="404">
        <f t="shared" si="19"/>
        <v>0</v>
      </c>
      <c r="P102" s="127">
        <f t="shared" si="20"/>
        <v>0</v>
      </c>
    </row>
    <row r="103" spans="1:16" ht="16.5">
      <c r="A103" s="260"/>
      <c r="B103" s="118"/>
      <c r="C103" s="322"/>
      <c r="D103" s="323"/>
      <c r="E103" s="152"/>
      <c r="F103" s="153"/>
      <c r="G103" s="221"/>
      <c r="H103" s="221"/>
      <c r="I103" s="424"/>
      <c r="J103" s="120"/>
      <c r="K103" s="404"/>
      <c r="L103" s="120">
        <f t="shared" si="16"/>
        <v>0</v>
      </c>
      <c r="M103" s="120">
        <f t="shared" si="17"/>
        <v>0</v>
      </c>
      <c r="N103" s="120">
        <f t="shared" si="18"/>
        <v>0</v>
      </c>
      <c r="O103" s="404">
        <f t="shared" si="19"/>
        <v>0</v>
      </c>
      <c r="P103" s="127">
        <f t="shared" si="20"/>
        <v>0</v>
      </c>
    </row>
    <row r="104" spans="1:16" ht="15.75" customHeight="1">
      <c r="A104" s="260"/>
      <c r="B104" s="118" t="s">
        <v>578</v>
      </c>
      <c r="C104" s="1388" t="s">
        <v>558</v>
      </c>
      <c r="D104" s="1389"/>
      <c r="E104" s="1389"/>
      <c r="F104" s="1390"/>
      <c r="G104" s="221"/>
      <c r="H104" s="221"/>
      <c r="I104" s="424"/>
      <c r="J104" s="120"/>
      <c r="K104" s="404"/>
      <c r="L104" s="120">
        <f t="shared" si="16"/>
        <v>0</v>
      </c>
      <c r="M104" s="120">
        <f t="shared" si="17"/>
        <v>0</v>
      </c>
      <c r="N104" s="120">
        <f t="shared" si="18"/>
        <v>0</v>
      </c>
      <c r="O104" s="404">
        <f t="shared" si="19"/>
        <v>0</v>
      </c>
      <c r="P104" s="127">
        <f t="shared" si="20"/>
        <v>0</v>
      </c>
    </row>
    <row r="105" spans="1:16" ht="15.75" customHeight="1">
      <c r="A105" s="260"/>
      <c r="B105" s="118"/>
      <c r="C105" s="1388" t="s">
        <v>579</v>
      </c>
      <c r="D105" s="1389"/>
      <c r="E105" s="1389"/>
      <c r="F105" s="370"/>
      <c r="G105" s="134" t="s">
        <v>275</v>
      </c>
      <c r="H105" s="134">
        <v>35.47</v>
      </c>
      <c r="I105" s="423">
        <v>35.764000000000003</v>
      </c>
      <c r="J105" s="120">
        <v>47.667999999999999</v>
      </c>
      <c r="K105" s="404"/>
      <c r="L105" s="120">
        <f>K105+J105</f>
        <v>47.667999999999999</v>
      </c>
      <c r="M105" s="120">
        <f t="shared" si="17"/>
        <v>1268.54908</v>
      </c>
      <c r="N105" s="120">
        <f t="shared" si="18"/>
        <v>1690.78396</v>
      </c>
      <c r="O105" s="404">
        <f t="shared" si="19"/>
        <v>0</v>
      </c>
      <c r="P105" s="127">
        <f t="shared" si="20"/>
        <v>1690.78396</v>
      </c>
    </row>
    <row r="106" spans="1:16" ht="15.75" customHeight="1">
      <c r="A106" s="260"/>
      <c r="B106" s="118" t="s">
        <v>581</v>
      </c>
      <c r="C106" s="1388" t="s">
        <v>582</v>
      </c>
      <c r="D106" s="1389"/>
      <c r="E106" s="1389"/>
      <c r="F106" s="1390"/>
      <c r="G106" s="221"/>
      <c r="H106" s="221"/>
      <c r="I106" s="424"/>
      <c r="J106" s="120"/>
      <c r="K106" s="404"/>
      <c r="L106" s="120">
        <f t="shared" si="16"/>
        <v>0</v>
      </c>
      <c r="M106" s="120">
        <f t="shared" si="17"/>
        <v>0</v>
      </c>
      <c r="N106" s="120">
        <f t="shared" si="18"/>
        <v>0</v>
      </c>
      <c r="O106" s="404">
        <f t="shared" si="19"/>
        <v>0</v>
      </c>
      <c r="P106" s="127">
        <f t="shared" si="20"/>
        <v>0</v>
      </c>
    </row>
    <row r="107" spans="1:16" ht="15.75" customHeight="1">
      <c r="A107" s="260"/>
      <c r="B107" s="118"/>
      <c r="C107" s="1388" t="s">
        <v>583</v>
      </c>
      <c r="D107" s="1389"/>
      <c r="E107" s="1389"/>
      <c r="F107" s="370"/>
      <c r="G107" s="134" t="s">
        <v>273</v>
      </c>
      <c r="H107" s="134">
        <v>1434.18</v>
      </c>
      <c r="I107" s="423">
        <v>25.39</v>
      </c>
      <c r="J107" s="120">
        <v>25.05</v>
      </c>
      <c r="K107" s="404"/>
      <c r="L107" s="120">
        <f t="shared" si="16"/>
        <v>25.05</v>
      </c>
      <c r="M107" s="120">
        <f t="shared" si="17"/>
        <v>36413.830200000004</v>
      </c>
      <c r="N107" s="120">
        <f t="shared" si="18"/>
        <v>35926.209000000003</v>
      </c>
      <c r="O107" s="404">
        <f t="shared" si="19"/>
        <v>0</v>
      </c>
      <c r="P107" s="127">
        <f t="shared" si="20"/>
        <v>35926.209000000003</v>
      </c>
    </row>
    <row r="108" spans="1:16" ht="15.75" customHeight="1">
      <c r="A108" s="260"/>
      <c r="B108" s="118" t="s">
        <v>584</v>
      </c>
      <c r="C108" s="1388" t="s">
        <v>560</v>
      </c>
      <c r="D108" s="1389"/>
      <c r="E108" s="1389"/>
      <c r="F108" s="1390"/>
      <c r="G108" s="221"/>
      <c r="H108" s="221"/>
      <c r="I108" s="424"/>
      <c r="J108" s="120"/>
      <c r="K108" s="404"/>
      <c r="L108" s="120">
        <f t="shared" si="16"/>
        <v>0</v>
      </c>
      <c r="M108" s="120">
        <f t="shared" si="17"/>
        <v>0</v>
      </c>
      <c r="N108" s="120">
        <f t="shared" si="18"/>
        <v>0</v>
      </c>
      <c r="O108" s="404">
        <f t="shared" si="19"/>
        <v>0</v>
      </c>
      <c r="P108" s="127">
        <f t="shared" si="20"/>
        <v>0</v>
      </c>
    </row>
    <row r="109" spans="1:16" ht="15.75" customHeight="1">
      <c r="A109" s="260"/>
      <c r="B109" s="118"/>
      <c r="C109" s="1388" t="s">
        <v>585</v>
      </c>
      <c r="D109" s="1389"/>
      <c r="E109" s="1389"/>
      <c r="F109" s="1390"/>
      <c r="G109" s="134" t="s">
        <v>275</v>
      </c>
      <c r="H109" s="134">
        <v>58.19</v>
      </c>
      <c r="I109" s="423">
        <v>145.96</v>
      </c>
      <c r="J109" s="120">
        <v>149.86000000000001</v>
      </c>
      <c r="K109" s="404"/>
      <c r="L109" s="120">
        <f t="shared" si="16"/>
        <v>149.86000000000001</v>
      </c>
      <c r="M109" s="120">
        <f t="shared" si="17"/>
        <v>8493.4123999999993</v>
      </c>
      <c r="N109" s="120">
        <f t="shared" si="18"/>
        <v>8720.3534</v>
      </c>
      <c r="O109" s="404">
        <f t="shared" si="19"/>
        <v>0</v>
      </c>
      <c r="P109" s="127">
        <f t="shared" si="20"/>
        <v>8720.3534</v>
      </c>
    </row>
    <row r="110" spans="1:16" ht="15.75" customHeight="1">
      <c r="A110" s="260"/>
      <c r="B110" s="118" t="s">
        <v>586</v>
      </c>
      <c r="C110" s="1388" t="s">
        <v>587</v>
      </c>
      <c r="D110" s="1389"/>
      <c r="E110" s="1389"/>
      <c r="F110" s="1390"/>
      <c r="G110" s="221"/>
      <c r="H110" s="221"/>
      <c r="I110" s="424"/>
      <c r="J110" s="120"/>
      <c r="K110" s="404"/>
      <c r="L110" s="120">
        <f t="shared" si="16"/>
        <v>0</v>
      </c>
      <c r="M110" s="120">
        <f t="shared" si="17"/>
        <v>0</v>
      </c>
      <c r="N110" s="120">
        <f t="shared" si="18"/>
        <v>0</v>
      </c>
      <c r="O110" s="404">
        <f t="shared" si="19"/>
        <v>0</v>
      </c>
      <c r="P110" s="127">
        <f t="shared" si="20"/>
        <v>0</v>
      </c>
    </row>
    <row r="111" spans="1:16" ht="15.75" customHeight="1">
      <c r="A111" s="260"/>
      <c r="B111" s="118"/>
      <c r="C111" s="1388" t="s">
        <v>588</v>
      </c>
      <c r="D111" s="1389"/>
      <c r="E111" s="1389"/>
      <c r="F111" s="1390"/>
      <c r="G111" s="134" t="s">
        <v>103</v>
      </c>
      <c r="H111" s="134">
        <v>2.02</v>
      </c>
      <c r="I111" s="460">
        <v>1188.7529220000004</v>
      </c>
      <c r="J111" s="120"/>
      <c r="K111" s="404"/>
      <c r="L111" s="120">
        <f t="shared" si="16"/>
        <v>0</v>
      </c>
      <c r="M111" s="120">
        <f t="shared" si="17"/>
        <v>2401.2809024400008</v>
      </c>
      <c r="N111" s="120">
        <f t="shared" si="18"/>
        <v>0</v>
      </c>
      <c r="O111" s="404">
        <f t="shared" si="19"/>
        <v>0</v>
      </c>
      <c r="P111" s="127">
        <f t="shared" si="20"/>
        <v>0</v>
      </c>
    </row>
    <row r="112" spans="1:16" ht="15.75" customHeight="1">
      <c r="A112" s="260"/>
      <c r="B112" s="118"/>
      <c r="C112" s="1388" t="s">
        <v>715</v>
      </c>
      <c r="D112" s="1389"/>
      <c r="E112" s="1389"/>
      <c r="F112" s="1390"/>
      <c r="G112" s="399" t="s">
        <v>103</v>
      </c>
      <c r="H112" s="399">
        <v>2.02</v>
      </c>
      <c r="I112" s="460"/>
      <c r="J112" s="120">
        <v>4700.07</v>
      </c>
      <c r="K112" s="404">
        <v>0</v>
      </c>
      <c r="L112" s="120">
        <f>K112+J112</f>
        <v>4700.07</v>
      </c>
      <c r="M112" s="120">
        <f>H112*I112</f>
        <v>0</v>
      </c>
      <c r="N112" s="120">
        <f>H112*J112</f>
        <v>9494.1413999999986</v>
      </c>
      <c r="O112" s="404">
        <f>H112*K112</f>
        <v>0</v>
      </c>
      <c r="P112" s="127">
        <f>L112*H112</f>
        <v>9494.1413999999986</v>
      </c>
    </row>
    <row r="113" spans="1:16" ht="15.75" customHeight="1">
      <c r="A113" s="260"/>
      <c r="B113" s="118" t="s">
        <v>590</v>
      </c>
      <c r="C113" s="1388" t="s">
        <v>591</v>
      </c>
      <c r="D113" s="1389"/>
      <c r="E113" s="1389"/>
      <c r="F113" s="1390"/>
      <c r="G113" s="134" t="s">
        <v>592</v>
      </c>
      <c r="H113" s="134">
        <v>235</v>
      </c>
      <c r="I113" s="423">
        <v>87.679999999999978</v>
      </c>
      <c r="J113" s="120">
        <v>11.85</v>
      </c>
      <c r="K113" s="404"/>
      <c r="L113" s="120">
        <f t="shared" si="16"/>
        <v>11.85</v>
      </c>
      <c r="M113" s="120">
        <f>H113*I113</f>
        <v>20604.799999999996</v>
      </c>
      <c r="N113" s="120">
        <f>H113*J113</f>
        <v>2784.75</v>
      </c>
      <c r="O113" s="404">
        <f>H113*K113</f>
        <v>0</v>
      </c>
      <c r="P113" s="127">
        <f>L113*H113</f>
        <v>2784.75</v>
      </c>
    </row>
    <row r="114" spans="1:16" ht="16.5" thickBot="1">
      <c r="A114" s="260"/>
      <c r="B114" s="251"/>
      <c r="C114" s="225"/>
      <c r="D114" s="260"/>
      <c r="E114" s="260"/>
      <c r="F114" s="260"/>
      <c r="G114" s="252"/>
      <c r="H114" s="253"/>
      <c r="I114" s="425"/>
      <c r="J114" s="253"/>
      <c r="K114" s="409"/>
      <c r="L114" s="136">
        <f t="shared" si="16"/>
        <v>0</v>
      </c>
      <c r="M114" s="120">
        <f t="shared" si="17"/>
        <v>0</v>
      </c>
      <c r="N114" s="136">
        <f t="shared" si="18"/>
        <v>0</v>
      </c>
      <c r="O114" s="408">
        <f t="shared" si="19"/>
        <v>0</v>
      </c>
      <c r="P114" s="137">
        <f t="shared" si="20"/>
        <v>0</v>
      </c>
    </row>
    <row r="115" spans="1:16" ht="17.25" thickTop="1" thickBot="1">
      <c r="A115" s="260"/>
      <c r="B115" s="257"/>
      <c r="C115" s="395" t="s">
        <v>312</v>
      </c>
      <c r="D115" s="396"/>
      <c r="E115" s="396"/>
      <c r="F115" s="397"/>
      <c r="G115" s="258"/>
      <c r="H115" s="259"/>
      <c r="I115" s="421"/>
      <c r="J115" s="259"/>
      <c r="K115" s="407">
        <f t="shared" ref="K115:L115" si="21">SUM(K96:K114)</f>
        <v>0</v>
      </c>
      <c r="L115" s="259">
        <f t="shared" si="21"/>
        <v>5203.058</v>
      </c>
      <c r="M115" s="259">
        <f>SUM(M96:M114)</f>
        <v>76067.662531940005</v>
      </c>
      <c r="N115" s="259">
        <f>SUM(N96:N114)</f>
        <v>73131.905760000009</v>
      </c>
      <c r="O115" s="407">
        <f>SUM(O96:O114)</f>
        <v>0</v>
      </c>
      <c r="P115" s="525">
        <f>SUM(P96:P114)</f>
        <v>73131.905760000009</v>
      </c>
    </row>
    <row r="116" spans="1:16" s="610" customFormat="1" ht="18.75" thickTop="1">
      <c r="A116" s="603"/>
      <c r="B116" s="604"/>
      <c r="C116" s="617" t="s">
        <v>593</v>
      </c>
      <c r="D116" s="618"/>
      <c r="E116" s="618"/>
      <c r="F116" s="619"/>
      <c r="G116" s="614"/>
      <c r="H116" s="615"/>
      <c r="I116" s="422"/>
      <c r="J116" s="615"/>
      <c r="K116" s="408"/>
      <c r="L116" s="615"/>
      <c r="M116" s="615"/>
      <c r="N116" s="615"/>
      <c r="O116" s="408"/>
      <c r="P116" s="616"/>
    </row>
    <row r="117" spans="1:16" ht="15.75">
      <c r="A117" s="260"/>
      <c r="B117" s="118"/>
      <c r="C117" s="224" t="s">
        <v>90</v>
      </c>
      <c r="D117" s="226"/>
      <c r="E117" s="226"/>
      <c r="F117" s="227"/>
      <c r="G117" s="221"/>
      <c r="H117" s="136"/>
      <c r="I117" s="422"/>
      <c r="J117" s="136"/>
      <c r="K117" s="408"/>
      <c r="L117" s="136"/>
      <c r="M117" s="136"/>
      <c r="N117" s="136"/>
      <c r="O117" s="408"/>
      <c r="P117" s="137"/>
    </row>
    <row r="118" spans="1:16" ht="15.75">
      <c r="A118" s="260"/>
      <c r="B118" s="118"/>
      <c r="C118" s="224" t="s">
        <v>556</v>
      </c>
      <c r="D118" s="226"/>
      <c r="E118" s="226"/>
      <c r="F118" s="227"/>
      <c r="G118" s="221"/>
      <c r="H118" s="136"/>
      <c r="I118" s="422"/>
      <c r="J118" s="136"/>
      <c r="K118" s="408"/>
      <c r="L118" s="136"/>
      <c r="M118" s="136"/>
      <c r="N118" s="136"/>
      <c r="O118" s="408"/>
      <c r="P118" s="137"/>
    </row>
    <row r="119" spans="1:16" ht="35.25" customHeight="1">
      <c r="A119" s="260"/>
      <c r="B119" s="118" t="s">
        <v>594</v>
      </c>
      <c r="C119" s="1358" t="s">
        <v>595</v>
      </c>
      <c r="D119" s="1359"/>
      <c r="E119" s="1359"/>
      <c r="F119" s="1360"/>
      <c r="G119" s="134" t="s">
        <v>596</v>
      </c>
      <c r="H119" s="120">
        <v>26.11</v>
      </c>
      <c r="I119" s="417">
        <v>117.48375</v>
      </c>
      <c r="J119" s="120">
        <v>869.28959999999995</v>
      </c>
      <c r="K119" s="404"/>
      <c r="L119" s="120">
        <f>K119+J119</f>
        <v>869.28959999999995</v>
      </c>
      <c r="M119" s="120">
        <f>H119*I119</f>
        <v>3067.5007124999997</v>
      </c>
      <c r="N119" s="120">
        <f>H119*J119</f>
        <v>22697.151456</v>
      </c>
      <c r="O119" s="404">
        <f>H119*K119</f>
        <v>0</v>
      </c>
      <c r="P119" s="127">
        <f>L119*H119</f>
        <v>22697.151456</v>
      </c>
    </row>
    <row r="120" spans="1:16" ht="18.75">
      <c r="A120" s="260"/>
      <c r="B120" s="118" t="s">
        <v>597</v>
      </c>
      <c r="C120" s="248" t="s">
        <v>598</v>
      </c>
      <c r="D120" s="249"/>
      <c r="E120" s="249"/>
      <c r="F120" s="250"/>
      <c r="G120" s="134" t="s">
        <v>596</v>
      </c>
      <c r="H120" s="120">
        <v>48.12</v>
      </c>
      <c r="I120" s="417">
        <v>117.48375</v>
      </c>
      <c r="J120" s="120">
        <v>869.28959999999995</v>
      </c>
      <c r="K120" s="404"/>
      <c r="L120" s="120">
        <f>K120+J120</f>
        <v>869.28959999999995</v>
      </c>
      <c r="M120" s="120">
        <f t="shared" ref="M120:M151" si="22">H120*I120</f>
        <v>5653.3180499999999</v>
      </c>
      <c r="N120" s="120">
        <f t="shared" ref="N120:N151" si="23">H120*J120</f>
        <v>41830.215551999994</v>
      </c>
      <c r="O120" s="404">
        <f t="shared" ref="O120:O151" si="24">H120*K120</f>
        <v>0</v>
      </c>
      <c r="P120" s="127">
        <f t="shared" ref="P120:P151" si="25">L120*H120</f>
        <v>41830.215551999994</v>
      </c>
    </row>
    <row r="121" spans="1:16" ht="18.75">
      <c r="A121" s="260"/>
      <c r="B121" s="118" t="s">
        <v>599</v>
      </c>
      <c r="C121" s="248" t="s">
        <v>600</v>
      </c>
      <c r="D121" s="249"/>
      <c r="E121" s="249"/>
      <c r="F121" s="250"/>
      <c r="G121" s="134" t="s">
        <v>596</v>
      </c>
      <c r="H121" s="120">
        <v>72.180000000000007</v>
      </c>
      <c r="I121" s="417">
        <v>117.48375</v>
      </c>
      <c r="J121" s="120">
        <v>392.33937280000004</v>
      </c>
      <c r="K121" s="404"/>
      <c r="L121" s="120">
        <f>K121+J121</f>
        <v>392.33937280000004</v>
      </c>
      <c r="M121" s="120">
        <f t="shared" si="22"/>
        <v>8479.9770750000007</v>
      </c>
      <c r="N121" s="120">
        <f t="shared" si="23"/>
        <v>28319.055928704005</v>
      </c>
      <c r="O121" s="404">
        <f t="shared" si="24"/>
        <v>0</v>
      </c>
      <c r="P121" s="127">
        <f t="shared" si="25"/>
        <v>28319.055928704005</v>
      </c>
    </row>
    <row r="122" spans="1:16" ht="18.75">
      <c r="A122" s="260"/>
      <c r="B122" s="118" t="s">
        <v>601</v>
      </c>
      <c r="C122" s="248" t="s">
        <v>602</v>
      </c>
      <c r="D122" s="249"/>
      <c r="E122" s="249"/>
      <c r="F122" s="250"/>
      <c r="G122" s="134" t="s">
        <v>596</v>
      </c>
      <c r="H122" s="120">
        <v>96.24</v>
      </c>
      <c r="I122" s="417">
        <v>117.48375</v>
      </c>
      <c r="J122" s="120"/>
      <c r="K122" s="404"/>
      <c r="L122" s="120">
        <f t="shared" ref="L122:L151" si="26">K122+J122</f>
        <v>0</v>
      </c>
      <c r="M122" s="120">
        <f t="shared" si="22"/>
        <v>11306.6361</v>
      </c>
      <c r="N122" s="120">
        <f t="shared" si="23"/>
        <v>0</v>
      </c>
      <c r="O122" s="404">
        <f t="shared" si="24"/>
        <v>0</v>
      </c>
      <c r="P122" s="127">
        <f t="shared" si="25"/>
        <v>0</v>
      </c>
    </row>
    <row r="123" spans="1:16" ht="18.75">
      <c r="A123" s="260"/>
      <c r="B123" s="118" t="s">
        <v>603</v>
      </c>
      <c r="C123" s="248" t="s">
        <v>604</v>
      </c>
      <c r="D123" s="249"/>
      <c r="E123" s="249"/>
      <c r="F123" s="250"/>
      <c r="G123" s="134" t="s">
        <v>596</v>
      </c>
      <c r="H123" s="120">
        <v>120.3</v>
      </c>
      <c r="I123" s="417">
        <v>117.48375</v>
      </c>
      <c r="J123" s="120"/>
      <c r="K123" s="404"/>
      <c r="L123" s="120">
        <f t="shared" si="26"/>
        <v>0</v>
      </c>
      <c r="M123" s="120">
        <f t="shared" si="22"/>
        <v>14133.295125000001</v>
      </c>
      <c r="N123" s="120">
        <f t="shared" si="23"/>
        <v>0</v>
      </c>
      <c r="O123" s="404">
        <f t="shared" si="24"/>
        <v>0</v>
      </c>
      <c r="P123" s="127">
        <f t="shared" si="25"/>
        <v>0</v>
      </c>
    </row>
    <row r="124" spans="1:16" ht="18.75">
      <c r="A124" s="260"/>
      <c r="B124" s="118" t="s">
        <v>605</v>
      </c>
      <c r="C124" s="248" t="s">
        <v>606</v>
      </c>
      <c r="D124" s="249"/>
      <c r="E124" s="249"/>
      <c r="F124" s="250"/>
      <c r="G124" s="134" t="s">
        <v>596</v>
      </c>
      <c r="H124" s="120">
        <v>144.36000000000001</v>
      </c>
      <c r="I124" s="417">
        <v>98.68634999999999</v>
      </c>
      <c r="J124" s="120"/>
      <c r="K124" s="404"/>
      <c r="L124" s="120">
        <f t="shared" si="26"/>
        <v>0</v>
      </c>
      <c r="M124" s="120">
        <f t="shared" si="22"/>
        <v>14246.361486</v>
      </c>
      <c r="N124" s="120">
        <f t="shared" si="23"/>
        <v>0</v>
      </c>
      <c r="O124" s="404">
        <f t="shared" si="24"/>
        <v>0</v>
      </c>
      <c r="P124" s="127">
        <f t="shared" si="25"/>
        <v>0</v>
      </c>
    </row>
    <row r="125" spans="1:16" ht="28.5" customHeight="1">
      <c r="A125" s="260"/>
      <c r="B125" s="118" t="s">
        <v>607</v>
      </c>
      <c r="C125" s="1358" t="s">
        <v>608</v>
      </c>
      <c r="D125" s="1359"/>
      <c r="E125" s="1359"/>
      <c r="F125" s="1360"/>
      <c r="G125" s="134" t="s">
        <v>596</v>
      </c>
      <c r="H125" s="120">
        <v>34.11</v>
      </c>
      <c r="I125" s="417">
        <v>146.29</v>
      </c>
      <c r="J125" s="120">
        <v>202.83423999999997</v>
      </c>
      <c r="K125" s="404"/>
      <c r="L125" s="120">
        <f>K125+J125</f>
        <v>202.83423999999997</v>
      </c>
      <c r="M125" s="120">
        <f t="shared" si="22"/>
        <v>4989.9519</v>
      </c>
      <c r="N125" s="120">
        <f t="shared" si="23"/>
        <v>6918.6759263999984</v>
      </c>
      <c r="O125" s="404">
        <f t="shared" si="24"/>
        <v>0</v>
      </c>
      <c r="P125" s="127">
        <f t="shared" si="25"/>
        <v>6918.6759263999984</v>
      </c>
    </row>
    <row r="126" spans="1:16" ht="33" customHeight="1">
      <c r="A126" s="260"/>
      <c r="B126" s="118" t="s">
        <v>609</v>
      </c>
      <c r="C126" s="1358" t="s">
        <v>576</v>
      </c>
      <c r="D126" s="1359"/>
      <c r="E126" s="1359"/>
      <c r="F126" s="1360"/>
      <c r="G126" s="134" t="s">
        <v>596</v>
      </c>
      <c r="H126" s="120">
        <v>34.69</v>
      </c>
      <c r="I126" s="417">
        <v>857.63</v>
      </c>
      <c r="J126" s="120">
        <v>2602.91</v>
      </c>
      <c r="K126" s="404"/>
      <c r="L126" s="120">
        <f>K126+J126</f>
        <v>2602.91</v>
      </c>
      <c r="M126" s="120">
        <f t="shared" si="22"/>
        <v>29751.184699999998</v>
      </c>
      <c r="N126" s="120">
        <f t="shared" si="23"/>
        <v>90294.947899999985</v>
      </c>
      <c r="O126" s="404">
        <f t="shared" si="24"/>
        <v>0</v>
      </c>
      <c r="P126" s="127">
        <f t="shared" si="25"/>
        <v>90294.947899999985</v>
      </c>
    </row>
    <row r="127" spans="1:16" ht="15.75">
      <c r="A127" s="260"/>
      <c r="B127" s="118"/>
      <c r="C127" s="224" t="s">
        <v>557</v>
      </c>
      <c r="D127" s="249"/>
      <c r="E127" s="249"/>
      <c r="F127" s="250"/>
      <c r="G127" s="134"/>
      <c r="H127" s="120"/>
      <c r="I127" s="417"/>
      <c r="J127" s="120"/>
      <c r="K127" s="404"/>
      <c r="L127" s="120">
        <f t="shared" si="26"/>
        <v>0</v>
      </c>
      <c r="M127" s="120">
        <f t="shared" si="22"/>
        <v>0</v>
      </c>
      <c r="N127" s="120">
        <f t="shared" si="23"/>
        <v>0</v>
      </c>
      <c r="O127" s="404">
        <f t="shared" si="24"/>
        <v>0</v>
      </c>
      <c r="P127" s="127">
        <f t="shared" si="25"/>
        <v>0</v>
      </c>
    </row>
    <row r="128" spans="1:16" ht="15.75">
      <c r="A128" s="260"/>
      <c r="B128" s="118" t="s">
        <v>610</v>
      </c>
      <c r="C128" s="248" t="s">
        <v>558</v>
      </c>
      <c r="D128" s="249"/>
      <c r="E128" s="249"/>
      <c r="F128" s="250"/>
      <c r="G128" s="134"/>
      <c r="H128" s="120"/>
      <c r="I128" s="417"/>
      <c r="J128" s="120"/>
      <c r="K128" s="404"/>
      <c r="L128" s="120">
        <f t="shared" si="26"/>
        <v>0</v>
      </c>
      <c r="M128" s="120">
        <f t="shared" si="22"/>
        <v>0</v>
      </c>
      <c r="N128" s="120">
        <f t="shared" si="23"/>
        <v>0</v>
      </c>
      <c r="O128" s="404">
        <f t="shared" si="24"/>
        <v>0</v>
      </c>
      <c r="P128" s="127">
        <f t="shared" si="25"/>
        <v>0</v>
      </c>
    </row>
    <row r="129" spans="1:19" ht="19.5" thickBot="1">
      <c r="A129" s="260"/>
      <c r="B129" s="251"/>
      <c r="C129" s="959" t="s">
        <v>268</v>
      </c>
      <c r="D129" s="960"/>
      <c r="E129" s="960"/>
      <c r="F129" s="961"/>
      <c r="G129" s="157" t="s">
        <v>580</v>
      </c>
      <c r="H129" s="158">
        <v>35.47</v>
      </c>
      <c r="I129" s="419">
        <v>61.622500000000002</v>
      </c>
      <c r="J129" s="158">
        <v>154.79999999999998</v>
      </c>
      <c r="K129" s="406"/>
      <c r="L129" s="158">
        <f>K129+J129</f>
        <v>154.79999999999998</v>
      </c>
      <c r="M129" s="158">
        <f t="shared" si="22"/>
        <v>2185.7500749999999</v>
      </c>
      <c r="N129" s="158">
        <f t="shared" si="23"/>
        <v>5490.7559999999994</v>
      </c>
      <c r="O129" s="406">
        <f t="shared" si="24"/>
        <v>0</v>
      </c>
      <c r="P129" s="160">
        <f t="shared" si="25"/>
        <v>5490.7559999999994</v>
      </c>
      <c r="S129" s="868"/>
    </row>
    <row r="130" spans="1:19" ht="18.75">
      <c r="A130" s="260"/>
      <c r="B130" s="962" t="s">
        <v>611</v>
      </c>
      <c r="C130" s="963" t="s">
        <v>612</v>
      </c>
      <c r="D130" s="964"/>
      <c r="E130" s="964"/>
      <c r="F130" s="965"/>
      <c r="G130" s="966" t="s">
        <v>596</v>
      </c>
      <c r="H130" s="967">
        <v>631.94000000000005</v>
      </c>
      <c r="I130" s="968">
        <v>584.5</v>
      </c>
      <c r="J130" s="967">
        <v>378.91</v>
      </c>
      <c r="K130" s="969"/>
      <c r="L130" s="967">
        <f t="shared" si="26"/>
        <v>378.91</v>
      </c>
      <c r="M130" s="967">
        <f t="shared" si="22"/>
        <v>369368.93000000005</v>
      </c>
      <c r="N130" s="967">
        <f t="shared" si="23"/>
        <v>239448.38540000003</v>
      </c>
      <c r="O130" s="969">
        <f t="shared" si="24"/>
        <v>0</v>
      </c>
      <c r="P130" s="970">
        <f t="shared" si="25"/>
        <v>239448.38540000003</v>
      </c>
    </row>
    <row r="131" spans="1:19" ht="15.75">
      <c r="A131" s="260"/>
      <c r="B131" s="971" t="s">
        <v>613</v>
      </c>
      <c r="C131" s="248" t="s">
        <v>632</v>
      </c>
      <c r="D131" s="249"/>
      <c r="E131" s="249"/>
      <c r="F131" s="250"/>
      <c r="G131" s="399"/>
      <c r="H131" s="120"/>
      <c r="I131" s="417"/>
      <c r="J131" s="120"/>
      <c r="K131" s="404"/>
      <c r="L131" s="120">
        <f t="shared" si="26"/>
        <v>0</v>
      </c>
      <c r="M131" s="120">
        <f t="shared" si="22"/>
        <v>0</v>
      </c>
      <c r="N131" s="120">
        <f t="shared" si="23"/>
        <v>0</v>
      </c>
      <c r="O131" s="404">
        <f t="shared" si="24"/>
        <v>0</v>
      </c>
      <c r="P131" s="127">
        <f t="shared" si="25"/>
        <v>0</v>
      </c>
    </row>
    <row r="132" spans="1:19" ht="15.75">
      <c r="A132" s="260"/>
      <c r="B132" s="971"/>
      <c r="C132" s="248" t="s">
        <v>559</v>
      </c>
      <c r="D132" s="249"/>
      <c r="E132" s="249"/>
      <c r="F132" s="250"/>
      <c r="G132" s="399" t="s">
        <v>614</v>
      </c>
      <c r="H132" s="120">
        <f t="shared" ref="H132:H137" si="27">268.8+1165.38+60</f>
        <v>1494.18</v>
      </c>
      <c r="I132" s="417">
        <v>74.8</v>
      </c>
      <c r="J132" s="120">
        <v>74.8</v>
      </c>
      <c r="K132" s="404"/>
      <c r="L132" s="120">
        <f>K132+J132</f>
        <v>74.8</v>
      </c>
      <c r="M132" s="120">
        <f t="shared" si="22"/>
        <v>111764.664</v>
      </c>
      <c r="N132" s="120">
        <f t="shared" si="23"/>
        <v>111764.664</v>
      </c>
      <c r="O132" s="404">
        <f t="shared" si="24"/>
        <v>0</v>
      </c>
      <c r="P132" s="127">
        <f>L132*H132</f>
        <v>111764.664</v>
      </c>
    </row>
    <row r="133" spans="1:19" ht="15.75">
      <c r="A133" s="260"/>
      <c r="B133" s="971"/>
      <c r="C133" s="248" t="s">
        <v>615</v>
      </c>
      <c r="D133" s="249"/>
      <c r="E133" s="249"/>
      <c r="F133" s="250"/>
      <c r="G133" s="399" t="s">
        <v>614</v>
      </c>
      <c r="H133" s="120">
        <f t="shared" si="27"/>
        <v>1494.18</v>
      </c>
      <c r="I133" s="417">
        <v>332.32</v>
      </c>
      <c r="J133" s="120">
        <v>347.8</v>
      </c>
      <c r="K133" s="404"/>
      <c r="L133" s="120">
        <f t="shared" si="26"/>
        <v>347.8</v>
      </c>
      <c r="M133" s="120">
        <f t="shared" si="22"/>
        <v>496545.89760000003</v>
      </c>
      <c r="N133" s="120">
        <f t="shared" si="23"/>
        <v>519675.80400000006</v>
      </c>
      <c r="O133" s="404">
        <f t="shared" si="24"/>
        <v>0</v>
      </c>
      <c r="P133" s="127">
        <f t="shared" si="25"/>
        <v>519675.80400000006</v>
      </c>
    </row>
    <row r="134" spans="1:19" ht="15.75">
      <c r="A134" s="260"/>
      <c r="B134" s="971"/>
      <c r="C134" s="248" t="s">
        <v>616</v>
      </c>
      <c r="D134" s="249"/>
      <c r="E134" s="249"/>
      <c r="F134" s="250"/>
      <c r="G134" s="399" t="s">
        <v>614</v>
      </c>
      <c r="H134" s="120">
        <f t="shared" si="27"/>
        <v>1494.18</v>
      </c>
      <c r="I134" s="417">
        <v>9.8049999999999997</v>
      </c>
      <c r="J134" s="120">
        <v>10.51</v>
      </c>
      <c r="K134" s="404"/>
      <c r="L134" s="136">
        <f t="shared" si="26"/>
        <v>10.51</v>
      </c>
      <c r="M134" s="120">
        <f t="shared" si="22"/>
        <v>14650.4349</v>
      </c>
      <c r="N134" s="136">
        <f t="shared" si="23"/>
        <v>15703.8318</v>
      </c>
      <c r="O134" s="404">
        <f t="shared" si="24"/>
        <v>0</v>
      </c>
      <c r="P134" s="127">
        <f t="shared" si="25"/>
        <v>15703.8318</v>
      </c>
    </row>
    <row r="135" spans="1:19" ht="15.75">
      <c r="A135" s="260"/>
      <c r="B135" s="971"/>
      <c r="C135" s="248" t="s">
        <v>617</v>
      </c>
      <c r="D135" s="249"/>
      <c r="E135" s="249"/>
      <c r="F135" s="250"/>
      <c r="G135" s="399" t="s">
        <v>614</v>
      </c>
      <c r="H135" s="120">
        <f t="shared" si="27"/>
        <v>1494.18</v>
      </c>
      <c r="I135" s="417">
        <v>1.4</v>
      </c>
      <c r="J135" s="120">
        <v>1.4</v>
      </c>
      <c r="K135" s="404"/>
      <c r="L135" s="136">
        <f t="shared" si="26"/>
        <v>1.4</v>
      </c>
      <c r="M135" s="120">
        <f t="shared" si="22"/>
        <v>2091.8519999999999</v>
      </c>
      <c r="N135" s="136">
        <f t="shared" si="23"/>
        <v>2091.8519999999999</v>
      </c>
      <c r="O135" s="404">
        <f t="shared" si="24"/>
        <v>0</v>
      </c>
      <c r="P135" s="127">
        <f t="shared" si="25"/>
        <v>2091.8519999999999</v>
      </c>
    </row>
    <row r="136" spans="1:19" ht="15.75">
      <c r="A136" s="260"/>
      <c r="B136" s="971"/>
      <c r="C136" s="248" t="s">
        <v>618</v>
      </c>
      <c r="D136" s="249"/>
      <c r="E136" s="249"/>
      <c r="F136" s="250"/>
      <c r="G136" s="399" t="s">
        <v>614</v>
      </c>
      <c r="H136" s="120">
        <f t="shared" si="27"/>
        <v>1494.18</v>
      </c>
      <c r="I136" s="417">
        <v>24</v>
      </c>
      <c r="J136" s="120">
        <v>24</v>
      </c>
      <c r="K136" s="404"/>
      <c r="L136" s="136">
        <f t="shared" si="26"/>
        <v>24</v>
      </c>
      <c r="M136" s="120">
        <f t="shared" si="22"/>
        <v>35860.32</v>
      </c>
      <c r="N136" s="136">
        <f t="shared" si="23"/>
        <v>35860.32</v>
      </c>
      <c r="O136" s="408">
        <f t="shared" si="24"/>
        <v>0</v>
      </c>
      <c r="P136" s="137">
        <f t="shared" si="25"/>
        <v>35860.32</v>
      </c>
    </row>
    <row r="137" spans="1:19" ht="15.75">
      <c r="A137" s="260"/>
      <c r="B137" s="971"/>
      <c r="C137" s="248" t="s">
        <v>619</v>
      </c>
      <c r="D137" s="249"/>
      <c r="E137" s="249"/>
      <c r="F137" s="250"/>
      <c r="G137" s="399" t="s">
        <v>614</v>
      </c>
      <c r="H137" s="120">
        <f t="shared" si="27"/>
        <v>1494.18</v>
      </c>
      <c r="I137" s="417">
        <v>48.774999999999999</v>
      </c>
      <c r="J137" s="120">
        <v>58.2</v>
      </c>
      <c r="K137" s="408"/>
      <c r="L137" s="136">
        <f t="shared" si="26"/>
        <v>58.2</v>
      </c>
      <c r="M137" s="120">
        <f t="shared" si="22"/>
        <v>72878.629499999995</v>
      </c>
      <c r="N137" s="136">
        <f t="shared" si="23"/>
        <v>86961.276000000013</v>
      </c>
      <c r="O137" s="408">
        <f t="shared" si="24"/>
        <v>0</v>
      </c>
      <c r="P137" s="137">
        <f t="shared" si="25"/>
        <v>86961.276000000013</v>
      </c>
    </row>
    <row r="138" spans="1:19" ht="15.75">
      <c r="A138" s="260"/>
      <c r="B138" s="971" t="s">
        <v>620</v>
      </c>
      <c r="C138" s="248" t="s">
        <v>560</v>
      </c>
      <c r="D138" s="249"/>
      <c r="E138" s="249"/>
      <c r="F138" s="250"/>
      <c r="G138" s="399"/>
      <c r="H138" s="120"/>
      <c r="I138" s="417"/>
      <c r="J138" s="120"/>
      <c r="K138" s="408"/>
      <c r="L138" s="136">
        <f t="shared" si="26"/>
        <v>0</v>
      </c>
      <c r="M138" s="120">
        <f t="shared" si="22"/>
        <v>0</v>
      </c>
      <c r="N138" s="120">
        <f t="shared" si="23"/>
        <v>0</v>
      </c>
      <c r="O138" s="404">
        <f t="shared" si="24"/>
        <v>0</v>
      </c>
      <c r="P138" s="127">
        <f t="shared" si="25"/>
        <v>0</v>
      </c>
    </row>
    <row r="139" spans="1:19" ht="15.75">
      <c r="A139" s="260"/>
      <c r="B139" s="971"/>
      <c r="C139" s="248" t="s">
        <v>621</v>
      </c>
      <c r="D139" s="249"/>
      <c r="E139" s="249"/>
      <c r="F139" s="250"/>
      <c r="G139" s="399" t="s">
        <v>622</v>
      </c>
      <c r="H139" s="120">
        <v>130</v>
      </c>
      <c r="I139" s="417">
        <v>25.8</v>
      </c>
      <c r="J139" s="120">
        <v>89.784000000000006</v>
      </c>
      <c r="K139" s="404"/>
      <c r="L139" s="120">
        <f>K139+J139</f>
        <v>89.784000000000006</v>
      </c>
      <c r="M139" s="120">
        <f t="shared" si="22"/>
        <v>3354</v>
      </c>
      <c r="N139" s="120">
        <f t="shared" si="23"/>
        <v>11671.92</v>
      </c>
      <c r="O139" s="404">
        <f t="shared" si="24"/>
        <v>0</v>
      </c>
      <c r="P139" s="127">
        <f>L139*H139</f>
        <v>11671.92</v>
      </c>
    </row>
    <row r="140" spans="1:19" ht="15.75">
      <c r="A140" s="260"/>
      <c r="B140" s="971"/>
      <c r="C140" s="248" t="s">
        <v>623</v>
      </c>
      <c r="D140" s="249"/>
      <c r="E140" s="249"/>
      <c r="F140" s="250"/>
      <c r="G140" s="399" t="s">
        <v>622</v>
      </c>
      <c r="H140" s="120">
        <v>130</v>
      </c>
      <c r="I140" s="417">
        <v>1415.92</v>
      </c>
      <c r="J140" s="120">
        <v>1610.32</v>
      </c>
      <c r="K140" s="404"/>
      <c r="L140" s="120">
        <f>K140+J140</f>
        <v>1610.32</v>
      </c>
      <c r="M140" s="120">
        <f t="shared" si="22"/>
        <v>184069.6</v>
      </c>
      <c r="N140" s="120">
        <f t="shared" si="23"/>
        <v>209341.6</v>
      </c>
      <c r="O140" s="404">
        <f t="shared" si="24"/>
        <v>0</v>
      </c>
      <c r="P140" s="127">
        <f>L140*H140</f>
        <v>209341.6</v>
      </c>
    </row>
    <row r="141" spans="1:19" s="1184" customFormat="1" ht="15.75">
      <c r="A141" s="1176"/>
      <c r="B141" s="1177"/>
      <c r="C141" s="1178" t="s">
        <v>616</v>
      </c>
      <c r="D141" s="1179"/>
      <c r="E141" s="1179"/>
      <c r="F141" s="1180"/>
      <c r="G141" s="1181" t="s">
        <v>622</v>
      </c>
      <c r="H141" s="1182">
        <v>130</v>
      </c>
      <c r="I141" s="1182"/>
      <c r="J141" s="1182">
        <v>103.1</v>
      </c>
      <c r="K141" s="1182"/>
      <c r="L141" s="1182">
        <f>K141+J141</f>
        <v>103.1</v>
      </c>
      <c r="M141" s="1182"/>
      <c r="N141" s="1182">
        <f t="shared" si="23"/>
        <v>13403</v>
      </c>
      <c r="O141" s="1182">
        <f>K141*H141</f>
        <v>0</v>
      </c>
      <c r="P141" s="1183">
        <f>O141+N141</f>
        <v>13403</v>
      </c>
    </row>
    <row r="142" spans="1:19" ht="15.75">
      <c r="A142" s="260"/>
      <c r="B142" s="971"/>
      <c r="C142" s="248" t="s">
        <v>624</v>
      </c>
      <c r="D142" s="249"/>
      <c r="E142" s="249"/>
      <c r="F142" s="250"/>
      <c r="G142" s="399" t="s">
        <v>622</v>
      </c>
      <c r="H142" s="120">
        <v>130</v>
      </c>
      <c r="I142" s="417">
        <v>93.6</v>
      </c>
      <c r="J142" s="120">
        <v>85.6</v>
      </c>
      <c r="K142" s="404"/>
      <c r="L142" s="120">
        <f t="shared" si="26"/>
        <v>85.6</v>
      </c>
      <c r="M142" s="120">
        <f t="shared" si="22"/>
        <v>12168</v>
      </c>
      <c r="N142" s="120">
        <f t="shared" si="23"/>
        <v>11128</v>
      </c>
      <c r="O142" s="404">
        <f t="shared" si="24"/>
        <v>0</v>
      </c>
      <c r="P142" s="127">
        <f t="shared" si="25"/>
        <v>11128</v>
      </c>
    </row>
    <row r="143" spans="1:19" ht="15.75">
      <c r="A143" s="260"/>
      <c r="B143" s="971"/>
      <c r="D143" s="249"/>
      <c r="E143" s="249"/>
      <c r="F143" s="250"/>
      <c r="G143" s="399"/>
      <c r="H143" s="120"/>
      <c r="I143" s="417"/>
      <c r="J143" s="120"/>
      <c r="K143" s="404"/>
      <c r="L143" s="120"/>
      <c r="M143" s="120"/>
      <c r="N143" s="120"/>
      <c r="O143" s="404"/>
      <c r="P143" s="127"/>
    </row>
    <row r="144" spans="1:19" ht="15.75">
      <c r="A144" s="260"/>
      <c r="B144" s="971"/>
      <c r="C144" s="248" t="s">
        <v>1199</v>
      </c>
      <c r="D144" s="249"/>
      <c r="E144" s="249"/>
      <c r="F144" s="250"/>
      <c r="G144" s="399" t="s">
        <v>842</v>
      </c>
      <c r="H144" s="120">
        <v>130</v>
      </c>
      <c r="I144" s="417"/>
      <c r="J144" s="120">
        <v>226.1</v>
      </c>
      <c r="K144" s="404"/>
      <c r="L144" s="120">
        <v>226.1</v>
      </c>
      <c r="M144" s="120"/>
      <c r="N144" s="120">
        <f t="shared" si="23"/>
        <v>29393</v>
      </c>
      <c r="O144" s="404">
        <f t="shared" si="24"/>
        <v>0</v>
      </c>
      <c r="P144" s="127">
        <v>29393</v>
      </c>
    </row>
    <row r="145" spans="1:19" ht="60" customHeight="1">
      <c r="A145" s="260"/>
      <c r="B145" s="971" t="s">
        <v>625</v>
      </c>
      <c r="C145" s="1358" t="s">
        <v>626</v>
      </c>
      <c r="D145" s="1359"/>
      <c r="E145" s="1359"/>
      <c r="F145" s="1360"/>
      <c r="G145" s="399"/>
      <c r="H145" s="120"/>
      <c r="I145" s="417"/>
      <c r="J145" s="120"/>
      <c r="K145" s="404"/>
      <c r="L145" s="120">
        <f t="shared" si="26"/>
        <v>0</v>
      </c>
      <c r="M145" s="120">
        <f t="shared" si="22"/>
        <v>0</v>
      </c>
      <c r="N145" s="120">
        <f t="shared" si="23"/>
        <v>0</v>
      </c>
      <c r="O145" s="404"/>
      <c r="P145" s="127">
        <f t="shared" si="25"/>
        <v>0</v>
      </c>
    </row>
    <row r="146" spans="1:19" ht="15.75">
      <c r="A146" s="260"/>
      <c r="B146" s="971"/>
      <c r="C146" s="248" t="s">
        <v>627</v>
      </c>
      <c r="D146" s="249"/>
      <c r="E146" s="249"/>
      <c r="F146" s="250"/>
      <c r="G146" s="399" t="s">
        <v>589</v>
      </c>
      <c r="H146" s="120">
        <v>2.61</v>
      </c>
      <c r="I146" s="417">
        <v>2284.4486700000002</v>
      </c>
      <c r="J146" s="120">
        <v>3066.23</v>
      </c>
      <c r="K146" s="404"/>
      <c r="L146" s="120">
        <f t="shared" si="26"/>
        <v>3066.23</v>
      </c>
      <c r="M146" s="120">
        <f t="shared" si="22"/>
        <v>5962.4110287000003</v>
      </c>
      <c r="N146" s="120">
        <f t="shared" si="23"/>
        <v>8002.8602999999994</v>
      </c>
      <c r="O146" s="404">
        <f t="shared" si="24"/>
        <v>0</v>
      </c>
      <c r="P146" s="127">
        <f t="shared" si="25"/>
        <v>8002.8602999999994</v>
      </c>
    </row>
    <row r="147" spans="1:19" ht="15.75">
      <c r="A147" s="260"/>
      <c r="B147" s="971"/>
      <c r="C147" s="248" t="s">
        <v>628</v>
      </c>
      <c r="D147" s="249"/>
      <c r="E147" s="249"/>
      <c r="F147" s="250"/>
      <c r="G147" s="399" t="s">
        <v>589</v>
      </c>
      <c r="H147" s="120">
        <v>2.02</v>
      </c>
      <c r="I147" s="417">
        <v>4233.0027600000003</v>
      </c>
      <c r="J147" s="120">
        <f>1527.36+2620.09</f>
        <v>4147.45</v>
      </c>
      <c r="K147" s="404">
        <v>0</v>
      </c>
      <c r="L147" s="120">
        <f t="shared" si="26"/>
        <v>4147.45</v>
      </c>
      <c r="M147" s="120">
        <f t="shared" si="22"/>
        <v>8550.6655752000006</v>
      </c>
      <c r="N147" s="120">
        <f t="shared" si="23"/>
        <v>8377.8490000000002</v>
      </c>
      <c r="O147" s="404">
        <f t="shared" si="24"/>
        <v>0</v>
      </c>
      <c r="P147" s="127">
        <f>L147*H147</f>
        <v>8377.8490000000002</v>
      </c>
    </row>
    <row r="148" spans="1:19" ht="15.75">
      <c r="A148" s="260"/>
      <c r="B148" s="971" t="s">
        <v>676</v>
      </c>
      <c r="C148" s="248" t="s">
        <v>675</v>
      </c>
      <c r="D148" s="249"/>
      <c r="E148" s="249"/>
      <c r="F148" s="250"/>
      <c r="G148" s="399" t="s">
        <v>589</v>
      </c>
      <c r="H148" s="120">
        <v>2.02</v>
      </c>
      <c r="I148" s="417"/>
      <c r="J148" s="120"/>
      <c r="K148" s="404"/>
      <c r="L148" s="120">
        <f>K148+J148</f>
        <v>0</v>
      </c>
      <c r="M148" s="120">
        <f>H148*I148</f>
        <v>0</v>
      </c>
      <c r="N148" s="120">
        <f>H148*J148</f>
        <v>0</v>
      </c>
      <c r="O148" s="404">
        <f>H148*K148</f>
        <v>0</v>
      </c>
      <c r="P148" s="127">
        <f>L148*H148</f>
        <v>0</v>
      </c>
    </row>
    <row r="149" spans="1:19" ht="15.75">
      <c r="A149" s="260"/>
      <c r="B149" s="971"/>
      <c r="C149" s="248" t="s">
        <v>629</v>
      </c>
      <c r="D149" s="249"/>
      <c r="E149" s="249"/>
      <c r="F149" s="250"/>
      <c r="G149" s="399" t="s">
        <v>589</v>
      </c>
      <c r="H149" s="120">
        <v>2.02</v>
      </c>
      <c r="I149" s="417">
        <v>8907.4943999999996</v>
      </c>
      <c r="J149" s="120">
        <v>8368.25</v>
      </c>
      <c r="K149" s="404"/>
      <c r="L149" s="120">
        <f>K149+J149</f>
        <v>8368.25</v>
      </c>
      <c r="M149" s="120">
        <f>H149*I149</f>
        <v>17993.138687999999</v>
      </c>
      <c r="N149" s="120">
        <f>H149*J149</f>
        <v>16903.865000000002</v>
      </c>
      <c r="O149" s="404">
        <f>H149*K149</f>
        <v>0</v>
      </c>
      <c r="P149" s="127">
        <f>L149*H149</f>
        <v>16903.865000000002</v>
      </c>
    </row>
    <row r="150" spans="1:19" ht="15.75">
      <c r="A150" s="260"/>
      <c r="B150" s="971"/>
      <c r="C150" s="248" t="s">
        <v>630</v>
      </c>
      <c r="D150" s="249"/>
      <c r="E150" s="249"/>
      <c r="F150" s="250"/>
      <c r="G150" s="399" t="s">
        <v>589</v>
      </c>
      <c r="H150" s="120">
        <v>2.02</v>
      </c>
      <c r="I150" s="417">
        <v>46745.539008</v>
      </c>
      <c r="J150" s="120">
        <v>56277.919999999998</v>
      </c>
      <c r="K150" s="404"/>
      <c r="L150" s="120">
        <f>K150+J150</f>
        <v>56277.919999999998</v>
      </c>
      <c r="M150" s="120">
        <f>H150*I150</f>
        <v>94425.988796160003</v>
      </c>
      <c r="N150" s="120">
        <f>H150*J150</f>
        <v>113681.39839999999</v>
      </c>
      <c r="O150" s="404">
        <f>H150*K150</f>
        <v>0</v>
      </c>
      <c r="P150" s="127">
        <f>L150*H150</f>
        <v>113681.39839999999</v>
      </c>
    </row>
    <row r="151" spans="1:19" ht="40.5" customHeight="1" thickBot="1">
      <c r="A151" s="260"/>
      <c r="B151" s="971" t="s">
        <v>631</v>
      </c>
      <c r="C151" s="1394" t="s">
        <v>591</v>
      </c>
      <c r="D151" s="1395"/>
      <c r="E151" s="1395"/>
      <c r="F151" s="1396"/>
      <c r="G151" s="399" t="s">
        <v>592</v>
      </c>
      <c r="H151" s="120">
        <v>235</v>
      </c>
      <c r="I151" s="417">
        <v>289.2</v>
      </c>
      <c r="J151" s="120">
        <v>557</v>
      </c>
      <c r="K151" s="404"/>
      <c r="L151" s="120">
        <f t="shared" si="26"/>
        <v>557</v>
      </c>
      <c r="M151" s="120">
        <f t="shared" si="22"/>
        <v>67962</v>
      </c>
      <c r="N151" s="136">
        <f t="shared" si="23"/>
        <v>130895</v>
      </c>
      <c r="O151" s="408">
        <f t="shared" si="24"/>
        <v>0</v>
      </c>
      <c r="P151" s="137">
        <f t="shared" si="25"/>
        <v>130895</v>
      </c>
    </row>
    <row r="152" spans="1:19" ht="17.25" thickTop="1" thickBot="1">
      <c r="A152" s="260"/>
      <c r="B152" s="972"/>
      <c r="C152" s="1382" t="s">
        <v>312</v>
      </c>
      <c r="D152" s="1383"/>
      <c r="E152" s="1383"/>
      <c r="F152" s="1384"/>
      <c r="G152" s="258"/>
      <c r="H152" s="259"/>
      <c r="I152" s="421"/>
      <c r="J152" s="259"/>
      <c r="K152" s="259">
        <f t="shared" ref="K152:L152" si="28">SUM(K119:K151)</f>
        <v>0</v>
      </c>
      <c r="L152" s="259">
        <f t="shared" si="28"/>
        <v>80518.8368128</v>
      </c>
      <c r="M152" s="259">
        <f>SUM(M119:M151)</f>
        <v>1591460.5073115602</v>
      </c>
      <c r="N152" s="259">
        <f>SUM(N119:N151)</f>
        <v>1759855.4286631043</v>
      </c>
      <c r="O152" s="407">
        <f>SUM(O119:O151)</f>
        <v>0</v>
      </c>
      <c r="P152" s="525">
        <f>SUM(P119:P151)</f>
        <v>1759855.4286631043</v>
      </c>
    </row>
    <row r="153" spans="1:19" s="610" customFormat="1" ht="20.25" customHeight="1" thickTop="1">
      <c r="A153" s="603"/>
      <c r="B153" s="973"/>
      <c r="C153" s="620" t="s">
        <v>716</v>
      </c>
      <c r="D153" s="621"/>
      <c r="E153" s="621"/>
      <c r="F153" s="622"/>
      <c r="G153" s="607"/>
      <c r="H153" s="608"/>
      <c r="I153" s="417"/>
      <c r="J153" s="608"/>
      <c r="K153" s="408"/>
      <c r="L153" s="615"/>
      <c r="M153" s="608"/>
      <c r="N153" s="608"/>
      <c r="O153" s="404"/>
      <c r="P153" s="623"/>
    </row>
    <row r="154" spans="1:19" ht="20.25" customHeight="1">
      <c r="A154" s="260"/>
      <c r="B154" s="974"/>
      <c r="C154" s="1370" t="s">
        <v>90</v>
      </c>
      <c r="D154" s="1371"/>
      <c r="E154" s="1371"/>
      <c r="F154" s="1372"/>
      <c r="G154" s="399"/>
      <c r="H154" s="120"/>
      <c r="I154" s="417"/>
      <c r="J154" s="120"/>
      <c r="K154" s="404"/>
      <c r="L154" s="120"/>
      <c r="M154" s="120"/>
      <c r="N154" s="120"/>
      <c r="O154" s="404"/>
      <c r="P154" s="127"/>
    </row>
    <row r="155" spans="1:19" ht="16.5">
      <c r="A155" s="260"/>
      <c r="B155" s="975"/>
      <c r="C155" s="285" t="s">
        <v>717</v>
      </c>
      <c r="D155" s="462"/>
      <c r="E155" s="249"/>
      <c r="F155" s="250"/>
      <c r="G155" s="399"/>
      <c r="H155" s="120"/>
      <c r="I155" s="417"/>
      <c r="J155" s="120"/>
      <c r="K155" s="408"/>
      <c r="L155" s="120"/>
      <c r="M155" s="120"/>
      <c r="N155" s="120"/>
      <c r="O155" s="404"/>
      <c r="P155" s="127"/>
    </row>
    <row r="156" spans="1:19" ht="31.5" customHeight="1">
      <c r="A156" s="260"/>
      <c r="B156" s="975" t="s">
        <v>739</v>
      </c>
      <c r="C156" s="1391" t="s">
        <v>740</v>
      </c>
      <c r="D156" s="1392"/>
      <c r="E156" s="1392"/>
      <c r="F156" s="1393"/>
      <c r="G156" s="463" t="s">
        <v>596</v>
      </c>
      <c r="H156" s="472">
        <v>26.11</v>
      </c>
      <c r="I156" s="631">
        <v>77.61</v>
      </c>
      <c r="J156" s="260"/>
      <c r="K156" s="404"/>
      <c r="L156" s="120">
        <f t="shared" ref="L156:L181" si="29">K156+J156</f>
        <v>0</v>
      </c>
      <c r="M156" s="120">
        <f t="shared" ref="M156:M181" si="30">H156*I156</f>
        <v>2026.3970999999999</v>
      </c>
      <c r="N156" s="120">
        <f t="shared" ref="N156:N181" si="31">H156*J156</f>
        <v>0</v>
      </c>
      <c r="O156" s="404">
        <f t="shared" ref="O156:O181" si="32">H156*K156</f>
        <v>0</v>
      </c>
      <c r="P156" s="127">
        <f t="shared" ref="P156:P181" si="33">L156*H156</f>
        <v>0</v>
      </c>
    </row>
    <row r="157" spans="1:19" ht="18.75">
      <c r="A157" s="260"/>
      <c r="B157" s="975" t="s">
        <v>718</v>
      </c>
      <c r="C157" s="1367" t="s">
        <v>608</v>
      </c>
      <c r="D157" s="1368"/>
      <c r="E157" s="1368"/>
      <c r="F157" s="1369"/>
      <c r="G157" s="463" t="s">
        <v>596</v>
      </c>
      <c r="H157" s="475">
        <v>134.37</v>
      </c>
      <c r="I157" s="631">
        <v>11.88</v>
      </c>
      <c r="J157" s="471"/>
      <c r="K157" s="404">
        <v>0</v>
      </c>
      <c r="L157" s="120">
        <f t="shared" si="29"/>
        <v>0</v>
      </c>
      <c r="M157" s="120">
        <f t="shared" si="30"/>
        <v>1596.3156000000001</v>
      </c>
      <c r="N157" s="120">
        <f t="shared" si="31"/>
        <v>0</v>
      </c>
      <c r="O157" s="404">
        <f t="shared" si="32"/>
        <v>0</v>
      </c>
      <c r="P157" s="127">
        <f t="shared" si="33"/>
        <v>0</v>
      </c>
    </row>
    <row r="158" spans="1:19" ht="18.75">
      <c r="A158" s="260"/>
      <c r="B158" s="975"/>
      <c r="C158" s="1367" t="s">
        <v>831</v>
      </c>
      <c r="D158" s="1368"/>
      <c r="E158" s="1368"/>
      <c r="F158" s="1369"/>
      <c r="G158" s="463" t="s">
        <v>832</v>
      </c>
      <c r="H158" s="475">
        <v>134.37</v>
      </c>
      <c r="I158" s="631">
        <v>2925</v>
      </c>
      <c r="J158" s="471">
        <v>2016.27</v>
      </c>
      <c r="K158" s="404"/>
      <c r="L158" s="120">
        <f>K158+J158</f>
        <v>2016.27</v>
      </c>
      <c r="M158" s="120">
        <f>H158*I158</f>
        <v>393032.25</v>
      </c>
      <c r="N158" s="120">
        <f>H158*J158</f>
        <v>270926.19990000001</v>
      </c>
      <c r="O158" s="404">
        <f>H158*K158</f>
        <v>0</v>
      </c>
      <c r="P158" s="127">
        <f>L158*H158</f>
        <v>270926.19990000001</v>
      </c>
    </row>
    <row r="159" spans="1:19" ht="18.75">
      <c r="A159" s="260"/>
      <c r="B159" s="975" t="s">
        <v>719</v>
      </c>
      <c r="C159" s="1367" t="s">
        <v>576</v>
      </c>
      <c r="D159" s="1368"/>
      <c r="E159" s="1368"/>
      <c r="F159" s="1369"/>
      <c r="G159" s="463" t="s">
        <v>596</v>
      </c>
      <c r="H159" s="472">
        <v>34.69</v>
      </c>
      <c r="I159" s="631">
        <v>97.01</v>
      </c>
      <c r="J159" s="260"/>
      <c r="K159" s="404"/>
      <c r="L159" s="120">
        <f t="shared" si="29"/>
        <v>0</v>
      </c>
      <c r="M159" s="120">
        <f t="shared" si="30"/>
        <v>3365.2768999999998</v>
      </c>
      <c r="N159" s="120">
        <f t="shared" si="31"/>
        <v>0</v>
      </c>
      <c r="O159" s="404">
        <f t="shared" si="32"/>
        <v>0</v>
      </c>
      <c r="P159" s="127">
        <f t="shared" si="33"/>
        <v>0</v>
      </c>
      <c r="S159" s="328">
        <f>S13+T8</f>
        <v>0</v>
      </c>
    </row>
    <row r="160" spans="1:19" ht="16.5">
      <c r="A160" s="260"/>
      <c r="B160" s="975"/>
      <c r="C160" s="285" t="s">
        <v>720</v>
      </c>
      <c r="D160" s="941"/>
      <c r="E160" s="249"/>
      <c r="F160" s="250"/>
      <c r="G160" s="462"/>
      <c r="H160" s="120"/>
      <c r="I160" s="417"/>
      <c r="J160" s="120"/>
      <c r="K160" s="404"/>
      <c r="L160" s="120">
        <f t="shared" si="29"/>
        <v>0</v>
      </c>
      <c r="M160" s="260">
        <f t="shared" si="30"/>
        <v>0</v>
      </c>
      <c r="N160" s="120">
        <f t="shared" si="31"/>
        <v>0</v>
      </c>
      <c r="O160" s="404">
        <f t="shared" si="32"/>
        <v>0</v>
      </c>
      <c r="P160" s="127">
        <f t="shared" si="33"/>
        <v>0</v>
      </c>
    </row>
    <row r="161" spans="1:19" ht="15.75">
      <c r="A161" s="260"/>
      <c r="B161" s="975" t="s">
        <v>721</v>
      </c>
      <c r="C161" s="1367" t="s">
        <v>558</v>
      </c>
      <c r="D161" s="1368"/>
      <c r="E161" s="1368"/>
      <c r="F161" s="1369"/>
      <c r="G161" s="464"/>
      <c r="H161" s="120"/>
      <c r="I161" s="417"/>
      <c r="J161" s="120"/>
      <c r="K161" s="404"/>
      <c r="L161" s="120">
        <f t="shared" si="29"/>
        <v>0</v>
      </c>
      <c r="M161" s="260">
        <f t="shared" si="30"/>
        <v>0</v>
      </c>
      <c r="N161" s="120">
        <f t="shared" si="31"/>
        <v>0</v>
      </c>
      <c r="O161" s="404">
        <f t="shared" si="32"/>
        <v>0</v>
      </c>
      <c r="P161" s="127">
        <f t="shared" si="33"/>
        <v>0</v>
      </c>
    </row>
    <row r="162" spans="1:19" ht="18.75">
      <c r="A162" s="260"/>
      <c r="B162" s="975"/>
      <c r="C162" s="465" t="s">
        <v>268</v>
      </c>
      <c r="D162" s="941"/>
      <c r="E162" s="249"/>
      <c r="F162" s="250"/>
      <c r="G162" s="463" t="s">
        <v>580</v>
      </c>
      <c r="H162" s="120">
        <v>35.47</v>
      </c>
      <c r="I162" s="417">
        <v>167.2</v>
      </c>
      <c r="J162" s="120">
        <v>167.2</v>
      </c>
      <c r="K162" s="630">
        <v>0</v>
      </c>
      <c r="L162" s="120">
        <f t="shared" si="29"/>
        <v>167.2</v>
      </c>
      <c r="M162" s="120">
        <f t="shared" si="30"/>
        <v>5930.5839999999998</v>
      </c>
      <c r="N162" s="120">
        <f t="shared" si="31"/>
        <v>5930.5839999999998</v>
      </c>
      <c r="O162" s="404">
        <f t="shared" si="32"/>
        <v>0</v>
      </c>
      <c r="P162" s="127">
        <f t="shared" si="33"/>
        <v>5930.5839999999998</v>
      </c>
    </row>
    <row r="163" spans="1:19" ht="15.75">
      <c r="A163" s="260"/>
      <c r="B163" s="975" t="s">
        <v>722</v>
      </c>
      <c r="C163" s="1367" t="s">
        <v>582</v>
      </c>
      <c r="D163" s="1368"/>
      <c r="E163" s="1368"/>
      <c r="F163" s="1369"/>
      <c r="G163" s="464"/>
      <c r="H163" s="120"/>
      <c r="I163" s="417"/>
      <c r="J163" s="120"/>
      <c r="K163" s="630"/>
      <c r="L163" s="120">
        <f t="shared" si="29"/>
        <v>0</v>
      </c>
      <c r="M163" s="120">
        <f t="shared" si="30"/>
        <v>0</v>
      </c>
      <c r="N163" s="120">
        <f t="shared" si="31"/>
        <v>0</v>
      </c>
      <c r="O163" s="404">
        <f t="shared" si="32"/>
        <v>0</v>
      </c>
      <c r="P163" s="127">
        <f t="shared" si="33"/>
        <v>0</v>
      </c>
    </row>
    <row r="164" spans="1:19" ht="15.75">
      <c r="A164" s="260"/>
      <c r="B164" s="976"/>
      <c r="C164" s="467" t="s">
        <v>723</v>
      </c>
      <c r="D164" s="941"/>
      <c r="E164" s="249"/>
      <c r="F164" s="250"/>
      <c r="G164" s="463" t="s">
        <v>614</v>
      </c>
      <c r="H164" s="120">
        <f t="shared" ref="H164:H170" si="34">268.8+1165.38</f>
        <v>1434.18</v>
      </c>
      <c r="I164" s="417">
        <v>65.728000000000009</v>
      </c>
      <c r="J164" s="120">
        <v>65.73</v>
      </c>
      <c r="K164" s="630"/>
      <c r="L164" s="120">
        <f t="shared" si="29"/>
        <v>65.73</v>
      </c>
      <c r="M164" s="120">
        <f t="shared" si="30"/>
        <v>94265.783040000009</v>
      </c>
      <c r="N164" s="120">
        <f t="shared" si="31"/>
        <v>94268.651400000017</v>
      </c>
      <c r="O164" s="404">
        <f t="shared" si="32"/>
        <v>0</v>
      </c>
      <c r="P164" s="127">
        <f t="shared" si="33"/>
        <v>94268.651400000017</v>
      </c>
    </row>
    <row r="165" spans="1:19" ht="15.75">
      <c r="A165" s="260"/>
      <c r="B165" s="976"/>
      <c r="C165" s="467" t="s">
        <v>724</v>
      </c>
      <c r="D165" s="941"/>
      <c r="E165" s="249"/>
      <c r="F165" s="250"/>
      <c r="G165" s="463" t="s">
        <v>614</v>
      </c>
      <c r="H165" s="120">
        <f t="shared" si="34"/>
        <v>1434.18</v>
      </c>
      <c r="I165" s="417">
        <v>4.1715000000000009</v>
      </c>
      <c r="J165" s="120">
        <v>3.82</v>
      </c>
      <c r="K165" s="630"/>
      <c r="L165" s="120">
        <f t="shared" si="29"/>
        <v>3.82</v>
      </c>
      <c r="M165" s="120">
        <f t="shared" si="30"/>
        <v>5982.6818700000013</v>
      </c>
      <c r="N165" s="120">
        <f t="shared" si="31"/>
        <v>5478.5676000000003</v>
      </c>
      <c r="O165" s="404">
        <f t="shared" si="32"/>
        <v>0</v>
      </c>
      <c r="P165" s="127">
        <f t="shared" si="33"/>
        <v>5478.5676000000003</v>
      </c>
    </row>
    <row r="166" spans="1:19" ht="15.75">
      <c r="A166" s="260"/>
      <c r="B166" s="976"/>
      <c r="C166" s="467" t="s">
        <v>725</v>
      </c>
      <c r="D166" s="941"/>
      <c r="E166" s="249"/>
      <c r="F166" s="250"/>
      <c r="G166" s="463" t="s">
        <v>614</v>
      </c>
      <c r="H166" s="120">
        <f t="shared" si="34"/>
        <v>1434.18</v>
      </c>
      <c r="I166" s="417">
        <v>117.84</v>
      </c>
      <c r="J166" s="120">
        <f>110.31+46.31</f>
        <v>156.62</v>
      </c>
      <c r="K166" s="630">
        <v>0</v>
      </c>
      <c r="L166" s="120">
        <f>K166+J166</f>
        <v>156.62</v>
      </c>
      <c r="M166" s="120">
        <f t="shared" si="30"/>
        <v>169003.77120000002</v>
      </c>
      <c r="N166" s="120">
        <f t="shared" si="31"/>
        <v>224621.27160000001</v>
      </c>
      <c r="O166" s="404">
        <f t="shared" si="32"/>
        <v>0</v>
      </c>
      <c r="P166" s="127">
        <f>L166*H166</f>
        <v>224621.27160000001</v>
      </c>
    </row>
    <row r="167" spans="1:19" ht="15.75">
      <c r="A167" s="260"/>
      <c r="B167" s="976"/>
      <c r="C167" s="467" t="s">
        <v>726</v>
      </c>
      <c r="D167" s="941"/>
      <c r="E167" s="249"/>
      <c r="F167" s="250"/>
      <c r="G167" s="463" t="s">
        <v>614</v>
      </c>
      <c r="H167" s="120">
        <f t="shared" si="34"/>
        <v>1434.18</v>
      </c>
      <c r="I167" s="417">
        <v>3.8</v>
      </c>
      <c r="J167" s="120">
        <v>3.8</v>
      </c>
      <c r="K167" s="404"/>
      <c r="L167" s="120">
        <f t="shared" si="29"/>
        <v>3.8</v>
      </c>
      <c r="M167" s="120">
        <f t="shared" si="30"/>
        <v>5449.884</v>
      </c>
      <c r="N167" s="120">
        <f t="shared" si="31"/>
        <v>5449.884</v>
      </c>
      <c r="O167" s="404">
        <f t="shared" si="32"/>
        <v>0</v>
      </c>
      <c r="P167" s="127">
        <f t="shared" si="33"/>
        <v>5449.884</v>
      </c>
      <c r="S167" s="328">
        <f>S13+T8</f>
        <v>0</v>
      </c>
    </row>
    <row r="168" spans="1:19" ht="15.75">
      <c r="A168" s="260"/>
      <c r="B168" s="976"/>
      <c r="C168" s="467" t="s">
        <v>727</v>
      </c>
      <c r="D168" s="941"/>
      <c r="E168" s="249"/>
      <c r="F168" s="250"/>
      <c r="G168" s="463" t="s">
        <v>614</v>
      </c>
      <c r="H168" s="120">
        <f t="shared" si="34"/>
        <v>1434.18</v>
      </c>
      <c r="I168" s="417">
        <v>15.16</v>
      </c>
      <c r="J168" s="120">
        <v>31.56</v>
      </c>
      <c r="K168" s="404"/>
      <c r="L168" s="120">
        <f t="shared" si="29"/>
        <v>31.56</v>
      </c>
      <c r="M168" s="120">
        <f t="shared" si="30"/>
        <v>21742.168799999999</v>
      </c>
      <c r="N168" s="120">
        <f t="shared" si="31"/>
        <v>45262.720800000003</v>
      </c>
      <c r="O168" s="404">
        <f t="shared" si="32"/>
        <v>0</v>
      </c>
      <c r="P168" s="127">
        <f>L168*H168</f>
        <v>45262.720800000003</v>
      </c>
    </row>
    <row r="169" spans="1:19" ht="15.75">
      <c r="A169" s="260"/>
      <c r="B169" s="976"/>
      <c r="C169" s="467" t="s">
        <v>728</v>
      </c>
      <c r="D169" s="941"/>
      <c r="E169" s="249"/>
      <c r="F169" s="250"/>
      <c r="G169" s="463" t="s">
        <v>141</v>
      </c>
      <c r="H169" s="120">
        <v>1434.18</v>
      </c>
      <c r="I169" s="417">
        <v>5.0199999999999996</v>
      </c>
      <c r="J169" s="120">
        <v>8.26</v>
      </c>
      <c r="K169" s="404"/>
      <c r="L169" s="120">
        <f>K169+J169</f>
        <v>8.26</v>
      </c>
      <c r="M169" s="120">
        <f>I169*H169</f>
        <v>7199.5835999999999</v>
      </c>
      <c r="N169" s="120">
        <f>J169*H169</f>
        <v>11846.326800000001</v>
      </c>
      <c r="O169" s="404">
        <f>K169*H169</f>
        <v>0</v>
      </c>
      <c r="P169" s="127">
        <f>O169+N169</f>
        <v>11846.326800000001</v>
      </c>
    </row>
    <row r="170" spans="1:19" ht="16.5" thickBot="1">
      <c r="A170" s="260"/>
      <c r="B170" s="977"/>
      <c r="C170" s="978" t="s">
        <v>1237</v>
      </c>
      <c r="D170" s="979"/>
      <c r="E170" s="980"/>
      <c r="F170" s="981"/>
      <c r="G170" s="982" t="s">
        <v>614</v>
      </c>
      <c r="H170" s="983">
        <f t="shared" si="34"/>
        <v>1434.18</v>
      </c>
      <c r="I170" s="984"/>
      <c r="J170" s="985">
        <v>1.8</v>
      </c>
      <c r="K170" s="986"/>
      <c r="L170" s="985">
        <f t="shared" si="29"/>
        <v>1.8</v>
      </c>
      <c r="M170" s="985">
        <f t="shared" si="30"/>
        <v>0</v>
      </c>
      <c r="N170" s="985">
        <f t="shared" si="31"/>
        <v>2581.5240000000003</v>
      </c>
      <c r="O170" s="986">
        <f t="shared" si="32"/>
        <v>0</v>
      </c>
      <c r="P170" s="987">
        <f t="shared" si="33"/>
        <v>2581.5240000000003</v>
      </c>
    </row>
    <row r="171" spans="1:19" ht="15.75">
      <c r="A171" s="260"/>
      <c r="B171" s="1001" t="s">
        <v>729</v>
      </c>
      <c r="C171" s="1373" t="s">
        <v>560</v>
      </c>
      <c r="D171" s="1374"/>
      <c r="E171" s="1374"/>
      <c r="F171" s="1375"/>
      <c r="G171" s="1002"/>
      <c r="H171" s="1012"/>
      <c r="I171" s="1013"/>
      <c r="J171" s="967"/>
      <c r="K171" s="969"/>
      <c r="L171" s="967">
        <f t="shared" si="29"/>
        <v>0</v>
      </c>
      <c r="M171" s="967">
        <f t="shared" si="30"/>
        <v>0</v>
      </c>
      <c r="N171" s="967">
        <f t="shared" si="31"/>
        <v>0</v>
      </c>
      <c r="O171" s="969">
        <f t="shared" si="32"/>
        <v>0</v>
      </c>
      <c r="P171" s="990">
        <f t="shared" si="33"/>
        <v>0</v>
      </c>
    </row>
    <row r="172" spans="1:19" ht="18.75">
      <c r="A172" s="260"/>
      <c r="B172" s="1008"/>
      <c r="C172" s="1367" t="s">
        <v>621</v>
      </c>
      <c r="D172" s="1368"/>
      <c r="E172" s="1368"/>
      <c r="F172" s="1369"/>
      <c r="G172" s="469" t="s">
        <v>580</v>
      </c>
      <c r="H172" s="473">
        <v>58.19</v>
      </c>
      <c r="I172" s="632">
        <v>27.85</v>
      </c>
      <c r="J172" s="120">
        <v>22.96</v>
      </c>
      <c r="K172" s="404">
        <v>0</v>
      </c>
      <c r="L172" s="120">
        <f t="shared" si="29"/>
        <v>22.96</v>
      </c>
      <c r="M172" s="120">
        <f t="shared" si="30"/>
        <v>1620.5915</v>
      </c>
      <c r="N172" s="120">
        <f t="shared" si="31"/>
        <v>1336.0424</v>
      </c>
      <c r="O172" s="404">
        <f t="shared" si="32"/>
        <v>0</v>
      </c>
      <c r="P172" s="991">
        <f t="shared" si="33"/>
        <v>1336.0424</v>
      </c>
    </row>
    <row r="173" spans="1:19" ht="18.75" customHeight="1">
      <c r="A173" s="260"/>
      <c r="B173" s="1008"/>
      <c r="C173" s="1367" t="s">
        <v>730</v>
      </c>
      <c r="D173" s="1368"/>
      <c r="E173" s="1368"/>
      <c r="F173" s="1369"/>
      <c r="G173" s="469" t="s">
        <v>580</v>
      </c>
      <c r="H173" s="473">
        <v>58.19</v>
      </c>
      <c r="I173" s="632">
        <v>34.865000000000002</v>
      </c>
      <c r="J173" s="120">
        <v>25.46</v>
      </c>
      <c r="K173" s="404"/>
      <c r="L173" s="120">
        <f t="shared" si="29"/>
        <v>25.46</v>
      </c>
      <c r="M173" s="120">
        <f t="shared" si="30"/>
        <v>2028.7943500000001</v>
      </c>
      <c r="N173" s="120">
        <f t="shared" si="31"/>
        <v>1481.5174</v>
      </c>
      <c r="O173" s="404">
        <f t="shared" si="32"/>
        <v>0</v>
      </c>
      <c r="P173" s="991">
        <f t="shared" si="33"/>
        <v>1481.5174</v>
      </c>
    </row>
    <row r="174" spans="1:19" ht="18.75">
      <c r="A174" s="260"/>
      <c r="B174" s="1008"/>
      <c r="C174" s="1367" t="s">
        <v>731</v>
      </c>
      <c r="D174" s="1368"/>
      <c r="E174" s="1368"/>
      <c r="F174" s="1369"/>
      <c r="G174" s="469" t="s">
        <v>580</v>
      </c>
      <c r="H174" s="473">
        <v>58.19</v>
      </c>
      <c r="I174" s="632">
        <v>1233.8</v>
      </c>
      <c r="J174" s="120">
        <v>1185.92</v>
      </c>
      <c r="K174" s="404"/>
      <c r="L174" s="120">
        <f t="shared" si="29"/>
        <v>1185.92</v>
      </c>
      <c r="M174" s="120">
        <f t="shared" si="30"/>
        <v>71794.822</v>
      </c>
      <c r="N174" s="120">
        <f t="shared" si="31"/>
        <v>69008.684800000003</v>
      </c>
      <c r="O174" s="404">
        <f>H174*K174</f>
        <v>0</v>
      </c>
      <c r="P174" s="991">
        <f>L174*H174</f>
        <v>69008.684800000003</v>
      </c>
    </row>
    <row r="175" spans="1:19" ht="18.75">
      <c r="A175" s="260"/>
      <c r="B175" s="1008"/>
      <c r="C175" s="1367" t="s">
        <v>732</v>
      </c>
      <c r="D175" s="1368"/>
      <c r="E175" s="1368"/>
      <c r="F175" s="1369"/>
      <c r="G175" s="469" t="s">
        <v>580</v>
      </c>
      <c r="H175" s="473">
        <v>58.19</v>
      </c>
      <c r="I175" s="632">
        <v>19.66</v>
      </c>
      <c r="J175" s="120">
        <v>37.56</v>
      </c>
      <c r="K175" s="404"/>
      <c r="L175" s="120">
        <f t="shared" si="29"/>
        <v>37.56</v>
      </c>
      <c r="M175" s="120">
        <f t="shared" si="30"/>
        <v>1144.0154</v>
      </c>
      <c r="N175" s="120">
        <f t="shared" si="31"/>
        <v>2185.6163999999999</v>
      </c>
      <c r="O175" s="404">
        <f t="shared" si="32"/>
        <v>0</v>
      </c>
      <c r="P175" s="991">
        <f t="shared" si="33"/>
        <v>2185.6163999999999</v>
      </c>
    </row>
    <row r="176" spans="1:19" ht="15.75" customHeight="1">
      <c r="A176" s="260"/>
      <c r="B176" s="975" t="s">
        <v>733</v>
      </c>
      <c r="C176" s="1367" t="s">
        <v>626</v>
      </c>
      <c r="D176" s="1368"/>
      <c r="E176" s="1368"/>
      <c r="F176" s="1369"/>
      <c r="G176" s="464"/>
      <c r="H176" s="260"/>
      <c r="I176" s="1006"/>
      <c r="J176" s="120"/>
      <c r="K176" s="404"/>
      <c r="L176" s="120">
        <f t="shared" si="29"/>
        <v>0</v>
      </c>
      <c r="M176" s="120">
        <f t="shared" si="30"/>
        <v>0</v>
      </c>
      <c r="N176" s="120">
        <f t="shared" si="31"/>
        <v>0</v>
      </c>
      <c r="O176" s="404">
        <f t="shared" si="32"/>
        <v>0</v>
      </c>
      <c r="P176" s="991">
        <f t="shared" si="33"/>
        <v>0</v>
      </c>
    </row>
    <row r="177" spans="1:19" ht="15.75">
      <c r="A177" s="260"/>
      <c r="B177" s="975"/>
      <c r="C177" s="1367" t="s">
        <v>734</v>
      </c>
      <c r="D177" s="1368"/>
      <c r="E177" s="1368"/>
      <c r="F177" s="1369"/>
      <c r="G177" s="464" t="s">
        <v>589</v>
      </c>
      <c r="H177" s="473">
        <v>2.61</v>
      </c>
      <c r="I177" s="632">
        <v>220.39856999999998</v>
      </c>
      <c r="J177" s="120">
        <v>1726.5</v>
      </c>
      <c r="K177" s="404"/>
      <c r="L177" s="120">
        <f t="shared" si="29"/>
        <v>1726.5</v>
      </c>
      <c r="M177" s="120">
        <f t="shared" si="30"/>
        <v>575.24026769999989</v>
      </c>
      <c r="N177" s="120">
        <f t="shared" si="31"/>
        <v>4506.165</v>
      </c>
      <c r="O177" s="404">
        <f t="shared" si="32"/>
        <v>0</v>
      </c>
      <c r="P177" s="991">
        <f t="shared" si="33"/>
        <v>4506.165</v>
      </c>
    </row>
    <row r="178" spans="1:19" ht="15.75">
      <c r="A178" s="260"/>
      <c r="B178" s="975"/>
      <c r="C178" s="1367" t="s">
        <v>735</v>
      </c>
      <c r="D178" s="1368"/>
      <c r="E178" s="1368"/>
      <c r="F178" s="1369"/>
      <c r="G178" s="464" t="s">
        <v>589</v>
      </c>
      <c r="H178" s="473">
        <v>2.02</v>
      </c>
      <c r="I178" s="632">
        <v>7180.2072720000006</v>
      </c>
      <c r="J178" s="120">
        <v>6973.72</v>
      </c>
      <c r="K178" s="404"/>
      <c r="L178" s="120">
        <f t="shared" si="29"/>
        <v>6973.72</v>
      </c>
      <c r="M178" s="120">
        <f t="shared" si="30"/>
        <v>14504.018689440001</v>
      </c>
      <c r="N178" s="120">
        <f t="shared" si="31"/>
        <v>14086.914400000001</v>
      </c>
      <c r="O178" s="404">
        <f t="shared" si="32"/>
        <v>0</v>
      </c>
      <c r="P178" s="991">
        <f t="shared" si="33"/>
        <v>14086.914400000001</v>
      </c>
    </row>
    <row r="179" spans="1:19" ht="15.75">
      <c r="A179" s="260"/>
      <c r="B179" s="975"/>
      <c r="C179" s="1367" t="s">
        <v>736</v>
      </c>
      <c r="D179" s="1368"/>
      <c r="E179" s="1368"/>
      <c r="F179" s="1369"/>
      <c r="G179" s="464" t="s">
        <v>589</v>
      </c>
      <c r="H179" s="473">
        <v>2.02</v>
      </c>
      <c r="I179" s="632">
        <v>18906.554520000005</v>
      </c>
      <c r="J179" s="120">
        <v>14639.36</v>
      </c>
      <c r="K179" s="404"/>
      <c r="L179" s="120">
        <f t="shared" si="29"/>
        <v>14639.36</v>
      </c>
      <c r="M179" s="120">
        <f t="shared" si="30"/>
        <v>38191.240130400009</v>
      </c>
      <c r="N179" s="120">
        <f t="shared" si="31"/>
        <v>29571.5072</v>
      </c>
      <c r="O179" s="404">
        <f t="shared" si="32"/>
        <v>0</v>
      </c>
      <c r="P179" s="991">
        <f t="shared" si="33"/>
        <v>29571.5072</v>
      </c>
    </row>
    <row r="180" spans="1:19" ht="15.75">
      <c r="A180" s="260"/>
      <c r="B180" s="975"/>
      <c r="C180" s="1367" t="s">
        <v>737</v>
      </c>
      <c r="D180" s="1368"/>
      <c r="E180" s="1368"/>
      <c r="F180" s="1369"/>
      <c r="G180" s="464" t="s">
        <v>589</v>
      </c>
      <c r="H180" s="473">
        <v>2.02</v>
      </c>
      <c r="I180" s="632">
        <v>6007.9017600000006</v>
      </c>
      <c r="J180" s="120">
        <v>25102.42</v>
      </c>
      <c r="K180" s="404">
        <v>0</v>
      </c>
      <c r="L180" s="120">
        <f t="shared" si="29"/>
        <v>25102.42</v>
      </c>
      <c r="M180" s="120">
        <f t="shared" si="30"/>
        <v>12135.961555200001</v>
      </c>
      <c r="N180" s="120">
        <f t="shared" si="31"/>
        <v>50706.888399999996</v>
      </c>
      <c r="O180" s="404">
        <f t="shared" si="32"/>
        <v>0</v>
      </c>
      <c r="P180" s="991">
        <f t="shared" si="33"/>
        <v>50706.888399999996</v>
      </c>
    </row>
    <row r="181" spans="1:19" ht="43.9" customHeight="1" thickBot="1">
      <c r="A181" s="260"/>
      <c r="B181" s="1014" t="s">
        <v>738</v>
      </c>
      <c r="C181" s="1367" t="s">
        <v>591</v>
      </c>
      <c r="D181" s="1368"/>
      <c r="E181" s="1368"/>
      <c r="F181" s="1369"/>
      <c r="G181" s="469" t="s">
        <v>592</v>
      </c>
      <c r="H181" s="473">
        <v>235</v>
      </c>
      <c r="I181" s="633">
        <v>192</v>
      </c>
      <c r="J181" s="120">
        <v>245.5</v>
      </c>
      <c r="K181" s="404"/>
      <c r="L181" s="120">
        <f t="shared" si="29"/>
        <v>245.5</v>
      </c>
      <c r="M181" s="120">
        <f t="shared" si="30"/>
        <v>45120</v>
      </c>
      <c r="N181" s="120">
        <f t="shared" si="31"/>
        <v>57692.5</v>
      </c>
      <c r="O181" s="404">
        <f t="shared" si="32"/>
        <v>0</v>
      </c>
      <c r="P181" s="991">
        <f t="shared" si="33"/>
        <v>57692.5</v>
      </c>
    </row>
    <row r="182" spans="1:19" ht="17.25" thickTop="1" thickBot="1">
      <c r="A182" s="260"/>
      <c r="B182" s="972"/>
      <c r="C182" s="1382" t="s">
        <v>312</v>
      </c>
      <c r="D182" s="1383"/>
      <c r="E182" s="1383"/>
      <c r="F182" s="1384"/>
      <c r="G182" s="258"/>
      <c r="H182" s="259"/>
      <c r="I182" s="421"/>
      <c r="J182" s="259"/>
      <c r="K182" s="407">
        <v>0</v>
      </c>
      <c r="L182" s="259">
        <f t="shared" ref="L182" si="35">SUM(L156:L181)</f>
        <v>52414.46</v>
      </c>
      <c r="M182" s="259">
        <f>SUM(M156:M181)</f>
        <v>896709.38000274007</v>
      </c>
      <c r="N182" s="259">
        <f>SUM(N156:N181)</f>
        <v>896941.56610000017</v>
      </c>
      <c r="O182" s="407"/>
      <c r="P182" s="992">
        <f>O182+N182</f>
        <v>896941.56610000017</v>
      </c>
    </row>
    <row r="183" spans="1:19" s="610" customFormat="1" ht="37.5" customHeight="1" thickTop="1">
      <c r="A183" s="603"/>
      <c r="B183" s="973"/>
      <c r="C183" s="1376" t="s">
        <v>710</v>
      </c>
      <c r="D183" s="1377"/>
      <c r="E183" s="1377"/>
      <c r="F183" s="1378"/>
      <c r="G183" s="607"/>
      <c r="H183" s="608"/>
      <c r="I183" s="417"/>
      <c r="J183" s="608"/>
      <c r="K183" s="408"/>
      <c r="L183" s="615"/>
      <c r="M183" s="608"/>
      <c r="N183" s="615"/>
      <c r="O183" s="408"/>
      <c r="P183" s="1015"/>
    </row>
    <row r="184" spans="1:19" ht="15.75" customHeight="1">
      <c r="A184" s="260"/>
      <c r="B184" s="971"/>
      <c r="C184" s="1379" t="s">
        <v>90</v>
      </c>
      <c r="D184" s="1380"/>
      <c r="E184" s="1380"/>
      <c r="F184" s="1381"/>
      <c r="G184" s="399"/>
      <c r="H184" s="120"/>
      <c r="I184" s="417"/>
      <c r="J184" s="120"/>
      <c r="K184" s="408"/>
      <c r="L184" s="136"/>
      <c r="M184" s="120"/>
      <c r="N184" s="136"/>
      <c r="O184" s="408"/>
      <c r="P184" s="1016"/>
    </row>
    <row r="185" spans="1:19" ht="15.75" customHeight="1">
      <c r="A185" s="260"/>
      <c r="B185" s="971"/>
      <c r="C185" s="1379" t="s">
        <v>563</v>
      </c>
      <c r="D185" s="1380"/>
      <c r="E185" s="1380"/>
      <c r="F185" s="1381"/>
      <c r="G185" s="399"/>
      <c r="H185" s="120"/>
      <c r="I185" s="417"/>
      <c r="J185" s="120"/>
      <c r="K185" s="408"/>
      <c r="L185" s="136"/>
      <c r="M185" s="120"/>
      <c r="N185" s="136"/>
      <c r="O185" s="408"/>
      <c r="P185" s="1016"/>
    </row>
    <row r="186" spans="1:19" ht="31.5" customHeight="1">
      <c r="A186" s="260"/>
      <c r="B186" s="971" t="s">
        <v>633</v>
      </c>
      <c r="C186" s="1358" t="s">
        <v>634</v>
      </c>
      <c r="D186" s="1359"/>
      <c r="E186" s="1359"/>
      <c r="F186" s="1360"/>
      <c r="G186" s="399" t="s">
        <v>596</v>
      </c>
      <c r="H186" s="120">
        <v>26.17</v>
      </c>
      <c r="I186" s="417">
        <v>135.375</v>
      </c>
      <c r="J186" s="120">
        <v>642.7349999999999</v>
      </c>
      <c r="K186" s="404"/>
      <c r="L186" s="120">
        <f t="shared" ref="L186:L212" si="36">K186+J186</f>
        <v>642.7349999999999</v>
      </c>
      <c r="M186" s="120">
        <f t="shared" ref="M186:M211" si="37">H186*I186</f>
        <v>3542.7637500000001</v>
      </c>
      <c r="N186" s="120">
        <f t="shared" ref="N186:N210" si="38">H186*J186</f>
        <v>16820.374949999998</v>
      </c>
      <c r="O186" s="404">
        <f t="shared" ref="O186:O212" si="39">H186*K186</f>
        <v>0</v>
      </c>
      <c r="P186" s="991">
        <f t="shared" ref="P186:P210" si="40">L186*H186</f>
        <v>16820.374949999998</v>
      </c>
      <c r="S186" s="328">
        <f>S13+T8</f>
        <v>0</v>
      </c>
    </row>
    <row r="187" spans="1:19" ht="33" customHeight="1">
      <c r="A187" s="260"/>
      <c r="B187" s="971" t="s">
        <v>635</v>
      </c>
      <c r="C187" s="1358" t="s">
        <v>636</v>
      </c>
      <c r="D187" s="1359"/>
      <c r="E187" s="1359"/>
      <c r="F187" s="1360"/>
      <c r="G187" s="399" t="s">
        <v>596</v>
      </c>
      <c r="H187" s="120">
        <v>48.12</v>
      </c>
      <c r="I187" s="417">
        <v>135.375</v>
      </c>
      <c r="J187" s="120">
        <v>642.7349999999999</v>
      </c>
      <c r="K187" s="404"/>
      <c r="L187" s="120">
        <f t="shared" si="36"/>
        <v>642.7349999999999</v>
      </c>
      <c r="M187" s="120">
        <f t="shared" si="37"/>
        <v>6514.2449999999999</v>
      </c>
      <c r="N187" s="120">
        <f t="shared" si="38"/>
        <v>30928.408199999994</v>
      </c>
      <c r="O187" s="404">
        <f t="shared" si="39"/>
        <v>0</v>
      </c>
      <c r="P187" s="991">
        <f t="shared" si="40"/>
        <v>30928.408199999994</v>
      </c>
    </row>
    <row r="188" spans="1:19" ht="33.75" customHeight="1">
      <c r="A188" s="260"/>
      <c r="B188" s="971" t="s">
        <v>637</v>
      </c>
      <c r="C188" s="1358" t="s">
        <v>638</v>
      </c>
      <c r="D188" s="1359"/>
      <c r="E188" s="1359"/>
      <c r="F188" s="1360"/>
      <c r="G188" s="399" t="s">
        <v>596</v>
      </c>
      <c r="H188" s="120">
        <v>72.180000000000007</v>
      </c>
      <c r="I188" s="417">
        <v>135.375</v>
      </c>
      <c r="J188" s="120">
        <v>64.273499999999999</v>
      </c>
      <c r="K188" s="404"/>
      <c r="L188" s="120">
        <f t="shared" si="36"/>
        <v>64.273499999999999</v>
      </c>
      <c r="M188" s="120">
        <f t="shared" si="37"/>
        <v>9771.3675000000003</v>
      </c>
      <c r="N188" s="120">
        <f t="shared" si="38"/>
        <v>4639.2612300000001</v>
      </c>
      <c r="O188" s="404">
        <f t="shared" si="39"/>
        <v>0</v>
      </c>
      <c r="P188" s="991">
        <f t="shared" si="40"/>
        <v>4639.2612300000001</v>
      </c>
    </row>
    <row r="189" spans="1:19" ht="33" customHeight="1">
      <c r="A189" s="260"/>
      <c r="B189" s="971" t="s">
        <v>639</v>
      </c>
      <c r="C189" s="1358" t="s">
        <v>640</v>
      </c>
      <c r="D189" s="1359"/>
      <c r="E189" s="1359"/>
      <c r="F189" s="1360"/>
      <c r="G189" s="399" t="s">
        <v>596</v>
      </c>
      <c r="H189" s="120">
        <v>96.24</v>
      </c>
      <c r="I189" s="417">
        <v>74.406374999999983</v>
      </c>
      <c r="J189" s="120"/>
      <c r="K189" s="404"/>
      <c r="L189" s="120">
        <f t="shared" si="36"/>
        <v>0</v>
      </c>
      <c r="M189" s="120">
        <f t="shared" si="37"/>
        <v>7160.8695299999981</v>
      </c>
      <c r="N189" s="120">
        <f t="shared" si="38"/>
        <v>0</v>
      </c>
      <c r="O189" s="404">
        <f t="shared" si="39"/>
        <v>0</v>
      </c>
      <c r="P189" s="991">
        <f t="shared" si="40"/>
        <v>0</v>
      </c>
    </row>
    <row r="190" spans="1:19" ht="33" customHeight="1">
      <c r="A190" s="260"/>
      <c r="B190" s="971" t="s">
        <v>641</v>
      </c>
      <c r="C190" s="1358" t="s">
        <v>608</v>
      </c>
      <c r="D190" s="1359"/>
      <c r="E190" s="1359"/>
      <c r="F190" s="1360"/>
      <c r="G190" s="399" t="s">
        <v>596</v>
      </c>
      <c r="H190" s="120">
        <v>34.11</v>
      </c>
      <c r="I190" s="417">
        <v>122.89</v>
      </c>
      <c r="J190" s="120"/>
      <c r="K190" s="404"/>
      <c r="L190" s="120">
        <f t="shared" si="36"/>
        <v>0</v>
      </c>
      <c r="M190" s="120">
        <f t="shared" si="37"/>
        <v>4191.7779</v>
      </c>
      <c r="N190" s="120">
        <f t="shared" si="38"/>
        <v>0</v>
      </c>
      <c r="O190" s="404">
        <f t="shared" si="39"/>
        <v>0</v>
      </c>
      <c r="P190" s="991">
        <f t="shared" si="40"/>
        <v>0</v>
      </c>
    </row>
    <row r="191" spans="1:19" ht="33" customHeight="1">
      <c r="A191" s="260"/>
      <c r="B191" s="971" t="s">
        <v>642</v>
      </c>
      <c r="C191" s="1358" t="s">
        <v>576</v>
      </c>
      <c r="D191" s="1359"/>
      <c r="E191" s="1359"/>
      <c r="F191" s="1360"/>
      <c r="G191" s="399" t="s">
        <v>596</v>
      </c>
      <c r="H191" s="120">
        <v>34.69</v>
      </c>
      <c r="I191" s="417">
        <v>600.66</v>
      </c>
      <c r="J191" s="120">
        <v>1822.15</v>
      </c>
      <c r="K191" s="404"/>
      <c r="L191" s="120">
        <f t="shared" si="36"/>
        <v>1822.15</v>
      </c>
      <c r="M191" s="120">
        <f t="shared" si="37"/>
        <v>20836.895399999998</v>
      </c>
      <c r="N191" s="120">
        <f t="shared" si="38"/>
        <v>63210.383499999996</v>
      </c>
      <c r="O191" s="404">
        <f t="shared" si="39"/>
        <v>0</v>
      </c>
      <c r="P191" s="991">
        <f t="shared" si="40"/>
        <v>63210.383499999996</v>
      </c>
    </row>
    <row r="192" spans="1:19" ht="34.5" customHeight="1">
      <c r="A192" s="260"/>
      <c r="B192" s="971"/>
      <c r="C192" s="1379" t="s">
        <v>643</v>
      </c>
      <c r="D192" s="1380"/>
      <c r="E192" s="1380"/>
      <c r="F192" s="1381"/>
      <c r="G192" s="399"/>
      <c r="H192" s="120"/>
      <c r="I192" s="417"/>
      <c r="J192" s="120"/>
      <c r="K192" s="408"/>
      <c r="L192" s="136">
        <f t="shared" si="36"/>
        <v>0</v>
      </c>
      <c r="M192" s="120">
        <f t="shared" si="37"/>
        <v>0</v>
      </c>
      <c r="N192" s="136">
        <f t="shared" si="38"/>
        <v>0</v>
      </c>
      <c r="O192" s="408">
        <f t="shared" si="39"/>
        <v>0</v>
      </c>
      <c r="P192" s="1016">
        <f t="shared" si="40"/>
        <v>0</v>
      </c>
    </row>
    <row r="193" spans="1:19" ht="33" customHeight="1">
      <c r="A193" s="260"/>
      <c r="B193" s="971" t="s">
        <v>644</v>
      </c>
      <c r="C193" s="1358" t="s">
        <v>558</v>
      </c>
      <c r="D193" s="1359"/>
      <c r="E193" s="1359"/>
      <c r="F193" s="1360"/>
      <c r="G193" s="399"/>
      <c r="H193" s="120"/>
      <c r="I193" s="417"/>
      <c r="J193" s="120"/>
      <c r="K193" s="408"/>
      <c r="L193" s="136">
        <f t="shared" si="36"/>
        <v>0</v>
      </c>
      <c r="M193" s="120">
        <f t="shared" si="37"/>
        <v>0</v>
      </c>
      <c r="N193" s="136">
        <f t="shared" si="38"/>
        <v>0</v>
      </c>
      <c r="O193" s="408">
        <f t="shared" si="39"/>
        <v>0</v>
      </c>
      <c r="P193" s="1016">
        <f t="shared" si="40"/>
        <v>0</v>
      </c>
    </row>
    <row r="194" spans="1:19" ht="26.25" customHeight="1">
      <c r="A194" s="260"/>
      <c r="B194" s="971"/>
      <c r="C194" s="1358" t="s">
        <v>645</v>
      </c>
      <c r="D194" s="1359"/>
      <c r="E194" s="1359"/>
      <c r="F194" s="1360"/>
      <c r="G194" s="399" t="s">
        <v>580</v>
      </c>
      <c r="H194" s="120">
        <v>35.47</v>
      </c>
      <c r="I194" s="417">
        <v>73.959999999999994</v>
      </c>
      <c r="J194" s="120">
        <v>75.69</v>
      </c>
      <c r="K194" s="404"/>
      <c r="L194" s="120">
        <f t="shared" si="36"/>
        <v>75.69</v>
      </c>
      <c r="M194" s="120">
        <f t="shared" si="37"/>
        <v>2623.3611999999998</v>
      </c>
      <c r="N194" s="136">
        <f t="shared" si="38"/>
        <v>2684.7242999999999</v>
      </c>
      <c r="O194" s="404">
        <f t="shared" si="39"/>
        <v>0</v>
      </c>
      <c r="P194" s="991">
        <f t="shared" si="40"/>
        <v>2684.7242999999999</v>
      </c>
    </row>
    <row r="195" spans="1:19" ht="48" customHeight="1" thickBot="1">
      <c r="A195" s="260"/>
      <c r="B195" s="1017" t="s">
        <v>611</v>
      </c>
      <c r="C195" s="1361" t="s">
        <v>612</v>
      </c>
      <c r="D195" s="1362"/>
      <c r="E195" s="1362"/>
      <c r="F195" s="1363"/>
      <c r="G195" s="1018" t="s">
        <v>596</v>
      </c>
      <c r="H195" s="985">
        <v>631.94000000000005</v>
      </c>
      <c r="I195" s="1011">
        <v>347.98</v>
      </c>
      <c r="J195" s="985">
        <v>320.73</v>
      </c>
      <c r="K195" s="1019"/>
      <c r="L195" s="1020">
        <f t="shared" si="36"/>
        <v>320.73</v>
      </c>
      <c r="M195" s="985">
        <f>H195*I195</f>
        <v>219902.48120000004</v>
      </c>
      <c r="N195" s="1020">
        <f t="shared" si="38"/>
        <v>202682.11620000002</v>
      </c>
      <c r="O195" s="986">
        <f t="shared" si="39"/>
        <v>0</v>
      </c>
      <c r="P195" s="1000">
        <f>L195*H195</f>
        <v>202682.11620000002</v>
      </c>
    </row>
    <row r="196" spans="1:19" ht="15.75" customHeight="1">
      <c r="A196" s="260"/>
      <c r="B196" s="962" t="s">
        <v>646</v>
      </c>
      <c r="C196" s="1364" t="s">
        <v>647</v>
      </c>
      <c r="D196" s="1365"/>
      <c r="E196" s="1365"/>
      <c r="F196" s="1366"/>
      <c r="G196" s="966"/>
      <c r="H196" s="967"/>
      <c r="I196" s="968"/>
      <c r="J196" s="967"/>
      <c r="K196" s="988"/>
      <c r="L196" s="989">
        <f t="shared" si="36"/>
        <v>0</v>
      </c>
      <c r="M196" s="967">
        <f t="shared" si="37"/>
        <v>0</v>
      </c>
      <c r="N196" s="989">
        <f t="shared" si="38"/>
        <v>0</v>
      </c>
      <c r="O196" s="969">
        <f t="shared" si="39"/>
        <v>0</v>
      </c>
      <c r="P196" s="990">
        <f t="shared" si="40"/>
        <v>0</v>
      </c>
    </row>
    <row r="197" spans="1:19" ht="36" customHeight="1">
      <c r="A197" s="260"/>
      <c r="B197" s="971"/>
      <c r="C197" s="1358" t="s">
        <v>559</v>
      </c>
      <c r="D197" s="1359"/>
      <c r="E197" s="1359"/>
      <c r="F197" s="1360"/>
      <c r="G197" s="399" t="s">
        <v>596</v>
      </c>
      <c r="H197" s="120">
        <f>268.8+1165.38+60</f>
        <v>1494.18</v>
      </c>
      <c r="I197" s="417">
        <v>36.125</v>
      </c>
      <c r="J197" s="120">
        <v>47.864999999999995</v>
      </c>
      <c r="K197" s="404"/>
      <c r="L197" s="120">
        <f t="shared" si="36"/>
        <v>47.864999999999995</v>
      </c>
      <c r="M197" s="120">
        <f t="shared" si="37"/>
        <v>53977.252500000002</v>
      </c>
      <c r="N197" s="136">
        <f t="shared" si="38"/>
        <v>71518.925699999993</v>
      </c>
      <c r="O197" s="404">
        <f t="shared" si="39"/>
        <v>0</v>
      </c>
      <c r="P197" s="991">
        <f t="shared" si="40"/>
        <v>71518.925699999993</v>
      </c>
    </row>
    <row r="198" spans="1:19" ht="18.75">
      <c r="A198" s="260"/>
      <c r="B198" s="971"/>
      <c r="C198" s="1358" t="s">
        <v>615</v>
      </c>
      <c r="D198" s="1359"/>
      <c r="E198" s="1359"/>
      <c r="F198" s="1360"/>
      <c r="G198" s="399" t="s">
        <v>596</v>
      </c>
      <c r="H198" s="120">
        <f>268.8+1165.38+60</f>
        <v>1494.18</v>
      </c>
      <c r="I198" s="417">
        <v>168.48</v>
      </c>
      <c r="J198" s="120">
        <v>175.16</v>
      </c>
      <c r="K198" s="404"/>
      <c r="L198" s="136">
        <f t="shared" si="36"/>
        <v>175.16</v>
      </c>
      <c r="M198" s="120">
        <f t="shared" si="37"/>
        <v>251739.44639999999</v>
      </c>
      <c r="N198" s="136">
        <f t="shared" si="38"/>
        <v>261720.56880000001</v>
      </c>
      <c r="O198" s="404">
        <f t="shared" si="39"/>
        <v>0</v>
      </c>
      <c r="P198" s="991">
        <f t="shared" si="40"/>
        <v>261720.56880000001</v>
      </c>
      <c r="S198" s="1150">
        <f>S13+T8</f>
        <v>0</v>
      </c>
    </row>
    <row r="199" spans="1:19" ht="18.75">
      <c r="A199" s="260"/>
      <c r="B199" s="971"/>
      <c r="C199" s="1358" t="s">
        <v>616</v>
      </c>
      <c r="D199" s="1359"/>
      <c r="E199" s="1359"/>
      <c r="F199" s="1360"/>
      <c r="G199" s="399" t="s">
        <v>596</v>
      </c>
      <c r="H199" s="120">
        <f>268.8+1165.38+60</f>
        <v>1494.18</v>
      </c>
      <c r="I199" s="417">
        <v>12.8925</v>
      </c>
      <c r="J199" s="120">
        <v>12.89</v>
      </c>
      <c r="K199" s="408"/>
      <c r="L199" s="136">
        <f t="shared" si="36"/>
        <v>12.89</v>
      </c>
      <c r="M199" s="120">
        <f t="shared" si="37"/>
        <v>19263.715650000002</v>
      </c>
      <c r="N199" s="136">
        <f t="shared" si="38"/>
        <v>19259.980200000002</v>
      </c>
      <c r="O199" s="404">
        <f t="shared" si="39"/>
        <v>0</v>
      </c>
      <c r="P199" s="991">
        <f t="shared" si="40"/>
        <v>19259.980200000002</v>
      </c>
    </row>
    <row r="200" spans="1:19" ht="18.75">
      <c r="A200" s="260"/>
      <c r="B200" s="971"/>
      <c r="C200" s="1358" t="s">
        <v>617</v>
      </c>
      <c r="D200" s="1359"/>
      <c r="E200" s="1359"/>
      <c r="F200" s="1360"/>
      <c r="G200" s="399" t="s">
        <v>596</v>
      </c>
      <c r="H200" s="120">
        <f>268.8+1165.38+60</f>
        <v>1494.18</v>
      </c>
      <c r="I200" s="417">
        <v>3.3</v>
      </c>
      <c r="J200" s="120">
        <v>3.66</v>
      </c>
      <c r="K200" s="408"/>
      <c r="L200" s="136">
        <f t="shared" si="36"/>
        <v>3.66</v>
      </c>
      <c r="M200" s="120">
        <f t="shared" si="37"/>
        <v>4930.7939999999999</v>
      </c>
      <c r="N200" s="136">
        <f t="shared" si="38"/>
        <v>5468.6988000000001</v>
      </c>
      <c r="O200" s="404">
        <f t="shared" si="39"/>
        <v>0</v>
      </c>
      <c r="P200" s="991">
        <f t="shared" si="40"/>
        <v>5468.6988000000001</v>
      </c>
    </row>
    <row r="201" spans="1:19" ht="18.75">
      <c r="A201" s="260"/>
      <c r="B201" s="971"/>
      <c r="C201" s="1358" t="s">
        <v>648</v>
      </c>
      <c r="D201" s="1359"/>
      <c r="E201" s="1359"/>
      <c r="F201" s="1360"/>
      <c r="G201" s="399" t="s">
        <v>596</v>
      </c>
      <c r="H201" s="120">
        <f>268.8+1165.38+60</f>
        <v>1494.18</v>
      </c>
      <c r="I201" s="417">
        <v>67.875</v>
      </c>
      <c r="J201" s="120">
        <v>37.33</v>
      </c>
      <c r="K201" s="408"/>
      <c r="L201" s="136">
        <f t="shared" si="36"/>
        <v>37.33</v>
      </c>
      <c r="M201" s="120">
        <f t="shared" si="37"/>
        <v>101417.4675</v>
      </c>
      <c r="N201" s="136">
        <f t="shared" si="38"/>
        <v>55777.739399999999</v>
      </c>
      <c r="O201" s="404">
        <f>H201*K201</f>
        <v>0</v>
      </c>
      <c r="P201" s="991">
        <f t="shared" si="40"/>
        <v>55777.739399999999</v>
      </c>
    </row>
    <row r="202" spans="1:19" ht="15.75" customHeight="1">
      <c r="A202" s="260"/>
      <c r="B202" s="971" t="s">
        <v>649</v>
      </c>
      <c r="C202" s="1358" t="s">
        <v>560</v>
      </c>
      <c r="D202" s="1359"/>
      <c r="E202" s="1359"/>
      <c r="F202" s="1360"/>
      <c r="G202" s="399"/>
      <c r="H202" s="120"/>
      <c r="I202" s="417"/>
      <c r="J202" s="120"/>
      <c r="K202" s="408"/>
      <c r="L202" s="136">
        <f t="shared" si="36"/>
        <v>0</v>
      </c>
      <c r="M202" s="120">
        <f t="shared" si="37"/>
        <v>0</v>
      </c>
      <c r="N202" s="136">
        <f t="shared" si="38"/>
        <v>0</v>
      </c>
      <c r="O202" s="404">
        <f t="shared" si="39"/>
        <v>0</v>
      </c>
      <c r="P202" s="991">
        <f t="shared" si="40"/>
        <v>0</v>
      </c>
    </row>
    <row r="203" spans="1:19" ht="15.75">
      <c r="A203" s="260"/>
      <c r="B203" s="971"/>
      <c r="C203" s="1358" t="s">
        <v>561</v>
      </c>
      <c r="D203" s="1359"/>
      <c r="E203" s="1359"/>
      <c r="F203" s="1360"/>
      <c r="G203" s="399" t="s">
        <v>622</v>
      </c>
      <c r="H203" s="120">
        <v>130</v>
      </c>
      <c r="I203" s="417">
        <v>17</v>
      </c>
      <c r="J203" s="120">
        <v>58.416000000000004</v>
      </c>
      <c r="K203" s="404"/>
      <c r="L203" s="120">
        <f t="shared" si="36"/>
        <v>58.416000000000004</v>
      </c>
      <c r="M203" s="120">
        <f t="shared" si="37"/>
        <v>2210</v>
      </c>
      <c r="N203" s="136">
        <f t="shared" si="38"/>
        <v>7594.0800000000008</v>
      </c>
      <c r="O203" s="404">
        <f t="shared" si="39"/>
        <v>0</v>
      </c>
      <c r="P203" s="991">
        <f t="shared" si="40"/>
        <v>7594.0800000000008</v>
      </c>
    </row>
    <row r="204" spans="1:19" ht="15.75">
      <c r="A204" s="260"/>
      <c r="B204" s="971"/>
      <c r="C204" s="1358" t="s">
        <v>650</v>
      </c>
      <c r="D204" s="1359"/>
      <c r="E204" s="1359"/>
      <c r="F204" s="1360"/>
      <c r="G204" s="399" t="s">
        <v>622</v>
      </c>
      <c r="H204" s="120">
        <v>130</v>
      </c>
      <c r="I204" s="417">
        <v>665.42</v>
      </c>
      <c r="J204" s="120">
        <v>713.36</v>
      </c>
      <c r="K204" s="404"/>
      <c r="L204" s="136">
        <f t="shared" si="36"/>
        <v>713.36</v>
      </c>
      <c r="M204" s="120">
        <f t="shared" si="37"/>
        <v>86504.599999999991</v>
      </c>
      <c r="N204" s="136">
        <f t="shared" si="38"/>
        <v>92736.8</v>
      </c>
      <c r="O204" s="404">
        <f t="shared" si="39"/>
        <v>0</v>
      </c>
      <c r="P204" s="991">
        <f t="shared" si="40"/>
        <v>92736.8</v>
      </c>
    </row>
    <row r="205" spans="1:19" ht="15.75">
      <c r="A205" s="260"/>
      <c r="B205" s="971"/>
      <c r="C205" s="1358" t="s">
        <v>651</v>
      </c>
      <c r="D205" s="1359"/>
      <c r="E205" s="1359"/>
      <c r="F205" s="1360"/>
      <c r="G205" s="399" t="s">
        <v>622</v>
      </c>
      <c r="H205" s="120">
        <v>130</v>
      </c>
      <c r="I205" s="417">
        <v>93.84</v>
      </c>
      <c r="J205" s="120">
        <v>218.52</v>
      </c>
      <c r="K205" s="408"/>
      <c r="L205" s="136">
        <f t="shared" si="36"/>
        <v>218.52</v>
      </c>
      <c r="M205" s="120">
        <f t="shared" si="37"/>
        <v>12199.2</v>
      </c>
      <c r="N205" s="136">
        <f t="shared" si="38"/>
        <v>28407.600000000002</v>
      </c>
      <c r="O205" s="404">
        <f>H205*K205</f>
        <v>0</v>
      </c>
      <c r="P205" s="991">
        <f t="shared" si="40"/>
        <v>28407.600000000002</v>
      </c>
    </row>
    <row r="206" spans="1:19" ht="15.75">
      <c r="A206" s="260"/>
      <c r="B206" s="971"/>
      <c r="C206" s="1358" t="s">
        <v>652</v>
      </c>
      <c r="D206" s="1359"/>
      <c r="E206" s="1359"/>
      <c r="F206" s="1360"/>
      <c r="G206" s="399" t="s">
        <v>622</v>
      </c>
      <c r="H206" s="120">
        <v>130</v>
      </c>
      <c r="I206" s="417">
        <v>23.14</v>
      </c>
      <c r="J206" s="120">
        <v>23.79</v>
      </c>
      <c r="K206" s="408"/>
      <c r="L206" s="136">
        <f t="shared" si="36"/>
        <v>23.79</v>
      </c>
      <c r="M206" s="120">
        <f t="shared" si="37"/>
        <v>3008.2000000000003</v>
      </c>
      <c r="N206" s="136">
        <f t="shared" si="38"/>
        <v>3092.7</v>
      </c>
      <c r="O206" s="404">
        <f t="shared" si="39"/>
        <v>0</v>
      </c>
      <c r="P206" s="991">
        <f t="shared" si="40"/>
        <v>3092.7</v>
      </c>
    </row>
    <row r="207" spans="1:19" ht="15.75">
      <c r="A207" s="260"/>
      <c r="B207" s="971"/>
      <c r="C207" s="1358" t="s">
        <v>1196</v>
      </c>
      <c r="D207" s="1359" t="s">
        <v>648</v>
      </c>
      <c r="E207" s="1359"/>
      <c r="F207" s="1360"/>
      <c r="G207" s="399" t="s">
        <v>622</v>
      </c>
      <c r="H207" s="120">
        <v>130</v>
      </c>
      <c r="I207" s="417"/>
      <c r="J207" s="136">
        <v>132.85</v>
      </c>
      <c r="K207" s="408"/>
      <c r="L207" s="136">
        <v>132.85</v>
      </c>
      <c r="M207" s="120">
        <f t="shared" si="37"/>
        <v>0</v>
      </c>
      <c r="N207" s="136">
        <f t="shared" si="38"/>
        <v>17270.5</v>
      </c>
      <c r="O207" s="404">
        <f>K207*H207</f>
        <v>0</v>
      </c>
      <c r="P207" s="991">
        <f t="shared" si="40"/>
        <v>17270.5</v>
      </c>
    </row>
    <row r="208" spans="1:19" ht="15.75" customHeight="1">
      <c r="A208" s="260"/>
      <c r="B208" s="971" t="s">
        <v>653</v>
      </c>
      <c r="C208" s="1358" t="s">
        <v>626</v>
      </c>
      <c r="D208" s="1359"/>
      <c r="E208" s="1359"/>
      <c r="F208" s="1360"/>
      <c r="G208" s="399"/>
      <c r="H208" s="120"/>
      <c r="I208" s="417"/>
      <c r="J208" s="120"/>
      <c r="K208" s="408"/>
      <c r="L208" s="136">
        <f t="shared" si="36"/>
        <v>0</v>
      </c>
      <c r="M208" s="120">
        <f t="shared" si="37"/>
        <v>0</v>
      </c>
      <c r="N208" s="136">
        <f t="shared" si="38"/>
        <v>0</v>
      </c>
      <c r="O208" s="404">
        <f t="shared" si="39"/>
        <v>0</v>
      </c>
      <c r="P208" s="991">
        <f t="shared" si="40"/>
        <v>0</v>
      </c>
    </row>
    <row r="209" spans="1:19" ht="15.75">
      <c r="A209" s="260"/>
      <c r="B209" s="971"/>
      <c r="C209" s="1358" t="s">
        <v>627</v>
      </c>
      <c r="D209" s="1359"/>
      <c r="E209" s="1359"/>
      <c r="F209" s="1360"/>
      <c r="G209" s="399" t="s">
        <v>589</v>
      </c>
      <c r="H209" s="120">
        <v>2.61</v>
      </c>
      <c r="I209" s="417">
        <v>1643.2456110000005</v>
      </c>
      <c r="J209" s="120">
        <v>1116.92</v>
      </c>
      <c r="K209" s="408"/>
      <c r="L209" s="136">
        <f t="shared" si="36"/>
        <v>1116.92</v>
      </c>
      <c r="M209" s="120">
        <f t="shared" si="37"/>
        <v>4288.8710447100011</v>
      </c>
      <c r="N209" s="136">
        <f t="shared" si="38"/>
        <v>2915.1612</v>
      </c>
      <c r="O209" s="404">
        <f t="shared" si="39"/>
        <v>0</v>
      </c>
      <c r="P209" s="991">
        <f t="shared" si="40"/>
        <v>2915.1612</v>
      </c>
    </row>
    <row r="210" spans="1:19" ht="15.75">
      <c r="A210" s="260"/>
      <c r="B210" s="971"/>
      <c r="C210" s="1358" t="s">
        <v>628</v>
      </c>
      <c r="D210" s="1359"/>
      <c r="E210" s="1359"/>
      <c r="F210" s="1360"/>
      <c r="G210" s="399" t="s">
        <v>589</v>
      </c>
      <c r="H210" s="120">
        <v>2.02</v>
      </c>
      <c r="I210" s="417">
        <v>1817.6205600000003</v>
      </c>
      <c r="J210" s="120">
        <f>1862.6688+973.96</f>
        <v>2836.6288</v>
      </c>
      <c r="K210" s="404">
        <v>0</v>
      </c>
      <c r="L210" s="120">
        <f t="shared" si="36"/>
        <v>2836.6288</v>
      </c>
      <c r="M210" s="120">
        <f t="shared" si="37"/>
        <v>3671.5935312000006</v>
      </c>
      <c r="N210" s="120">
        <f t="shared" si="38"/>
        <v>5729.9901760000002</v>
      </c>
      <c r="O210" s="404">
        <f>H210*K210</f>
        <v>0</v>
      </c>
      <c r="P210" s="991">
        <f t="shared" si="40"/>
        <v>5729.9901760000002</v>
      </c>
    </row>
    <row r="211" spans="1:19" ht="15.75">
      <c r="A211" s="260"/>
      <c r="B211" s="971"/>
      <c r="C211" s="1358" t="s">
        <v>654</v>
      </c>
      <c r="D211" s="1359"/>
      <c r="E211" s="1359"/>
      <c r="F211" s="1360"/>
      <c r="G211" s="399" t="s">
        <v>589</v>
      </c>
      <c r="H211" s="120">
        <v>2.02</v>
      </c>
      <c r="I211" s="417">
        <v>10837.463279999998</v>
      </c>
      <c r="J211" s="120">
        <v>14366.81</v>
      </c>
      <c r="K211" s="404"/>
      <c r="L211" s="120">
        <f t="shared" si="36"/>
        <v>14366.81</v>
      </c>
      <c r="M211" s="120">
        <f t="shared" si="37"/>
        <v>21891.675825599996</v>
      </c>
      <c r="N211" s="120">
        <f>H211*J211</f>
        <v>29020.956200000001</v>
      </c>
      <c r="O211" s="404">
        <f t="shared" si="39"/>
        <v>0</v>
      </c>
      <c r="P211" s="991">
        <f>L211*H211</f>
        <v>29020.956200000001</v>
      </c>
    </row>
    <row r="212" spans="1:19" ht="15.75">
      <c r="A212" s="260"/>
      <c r="B212" s="971"/>
      <c r="C212" s="1358" t="s">
        <v>629</v>
      </c>
      <c r="D212" s="1359"/>
      <c r="E212" s="1359"/>
      <c r="F212" s="1360"/>
      <c r="G212" s="399" t="s">
        <v>589</v>
      </c>
      <c r="H212" s="120">
        <v>2.02</v>
      </c>
      <c r="I212" s="417"/>
      <c r="J212" s="120">
        <v>2033.75</v>
      </c>
      <c r="K212" s="404"/>
      <c r="L212" s="120">
        <f t="shared" si="36"/>
        <v>2033.75</v>
      </c>
      <c r="M212" s="120"/>
      <c r="N212" s="120">
        <f>H212*J212</f>
        <v>4108.1750000000002</v>
      </c>
      <c r="O212" s="404">
        <f t="shared" si="39"/>
        <v>0</v>
      </c>
      <c r="P212" s="991">
        <f>L212*H212</f>
        <v>4108.1750000000002</v>
      </c>
    </row>
    <row r="213" spans="1:19" ht="29.25" customHeight="1" thickBot="1">
      <c r="A213" s="260"/>
      <c r="B213" s="971" t="s">
        <v>694</v>
      </c>
      <c r="C213" s="1437" t="s">
        <v>695</v>
      </c>
      <c r="D213" s="1438"/>
      <c r="E213" s="1438"/>
      <c r="F213" s="1439"/>
      <c r="G213" s="399" t="s">
        <v>484</v>
      </c>
      <c r="H213" s="120">
        <v>235</v>
      </c>
      <c r="I213" s="417"/>
      <c r="J213" s="120">
        <v>240.4</v>
      </c>
      <c r="K213" s="404"/>
      <c r="L213" s="120">
        <f>K213+J213</f>
        <v>240.4</v>
      </c>
      <c r="M213" s="120"/>
      <c r="N213" s="120">
        <f>H213*J213</f>
        <v>56494</v>
      </c>
      <c r="O213" s="404">
        <f>H213*K213</f>
        <v>0</v>
      </c>
      <c r="P213" s="991">
        <f>L213*H213</f>
        <v>56494</v>
      </c>
    </row>
    <row r="214" spans="1:19" ht="17.25" thickTop="1" thickBot="1">
      <c r="A214" s="260"/>
      <c r="B214" s="972"/>
      <c r="C214" s="934" t="s">
        <v>312</v>
      </c>
      <c r="D214" s="396"/>
      <c r="E214" s="396"/>
      <c r="F214" s="397"/>
      <c r="G214" s="258"/>
      <c r="H214" s="259"/>
      <c r="I214" s="421"/>
      <c r="J214" s="259"/>
      <c r="K214" s="407">
        <v>0</v>
      </c>
      <c r="L214" s="259">
        <f t="shared" ref="L214" si="41">SUM(L185:L211)</f>
        <v>23312.513299999999</v>
      </c>
      <c r="M214" s="259">
        <f>SUM(M185:M211)</f>
        <v>839646.57793151005</v>
      </c>
      <c r="N214" s="259">
        <f>SUM(N186:N213)</f>
        <v>982081.14385600004</v>
      </c>
      <c r="O214" s="407">
        <f>SUM(O183:O213)</f>
        <v>0</v>
      </c>
      <c r="P214" s="992">
        <f>SUM(P186:P213)</f>
        <v>982081.14385600004</v>
      </c>
    </row>
    <row r="215" spans="1:19" ht="18.75" thickTop="1">
      <c r="A215" s="260"/>
      <c r="B215" s="993"/>
      <c r="C215" s="812"/>
      <c r="D215" s="812" t="s">
        <v>1120</v>
      </c>
      <c r="E215" s="808"/>
      <c r="F215" s="809"/>
      <c r="G215" s="810"/>
      <c r="H215" s="585"/>
      <c r="I215" s="811"/>
      <c r="J215" s="585"/>
      <c r="K215" s="586"/>
      <c r="L215" s="585"/>
      <c r="M215" s="585"/>
      <c r="N215" s="585"/>
      <c r="O215" s="586"/>
      <c r="P215" s="994"/>
      <c r="S215" s="328">
        <f>S13+T8</f>
        <v>0</v>
      </c>
    </row>
    <row r="216" spans="1:19" ht="18">
      <c r="A216" s="260"/>
      <c r="B216" s="971"/>
      <c r="C216" s="138" t="s">
        <v>829</v>
      </c>
      <c r="D216" s="139"/>
      <c r="E216" s="139"/>
      <c r="F216" s="140"/>
      <c r="G216" s="221"/>
      <c r="H216" s="136"/>
      <c r="I216" s="417"/>
      <c r="J216" s="120"/>
      <c r="K216" s="404"/>
      <c r="L216" s="120"/>
      <c r="M216" s="120"/>
      <c r="N216" s="120"/>
      <c r="O216" s="404"/>
      <c r="P216" s="995"/>
    </row>
    <row r="217" spans="1:19" ht="15.75">
      <c r="A217" s="260"/>
      <c r="B217" s="971"/>
      <c r="C217" s="128" t="s">
        <v>830</v>
      </c>
      <c r="D217" s="133"/>
      <c r="E217" s="133"/>
      <c r="F217" s="141"/>
      <c r="G217" s="221"/>
      <c r="H217" s="136"/>
      <c r="I217" s="417"/>
      <c r="J217" s="120"/>
      <c r="K217" s="404"/>
      <c r="L217" s="120"/>
      <c r="M217" s="120"/>
      <c r="N217" s="120"/>
      <c r="O217" s="404"/>
      <c r="P217" s="995"/>
    </row>
    <row r="218" spans="1:19" ht="15.75">
      <c r="A218" s="260"/>
      <c r="B218" s="971"/>
      <c r="C218" s="128"/>
      <c r="D218" s="133"/>
      <c r="E218" s="133"/>
      <c r="F218" s="130"/>
      <c r="G218" s="399"/>
      <c r="H218" s="120"/>
      <c r="I218" s="417"/>
      <c r="J218" s="120"/>
      <c r="K218" s="404"/>
      <c r="L218" s="120"/>
      <c r="M218" s="120"/>
      <c r="N218" s="120"/>
      <c r="O218" s="404"/>
      <c r="P218" s="995"/>
    </row>
    <row r="219" spans="1:19" ht="15.75">
      <c r="A219" s="260"/>
      <c r="B219" s="971" t="s">
        <v>148</v>
      </c>
      <c r="C219" s="132" t="s">
        <v>113</v>
      </c>
      <c r="D219" s="129"/>
      <c r="E219" s="129"/>
      <c r="F219" s="130"/>
      <c r="G219" s="399"/>
      <c r="H219" s="120"/>
      <c r="I219" s="417"/>
      <c r="J219" s="120"/>
      <c r="K219" s="404"/>
      <c r="L219" s="120"/>
      <c r="M219" s="120"/>
      <c r="N219" s="120"/>
      <c r="O219" s="404"/>
      <c r="P219" s="995"/>
    </row>
    <row r="220" spans="1:19" ht="18">
      <c r="A220" s="260"/>
      <c r="B220" s="971"/>
      <c r="C220" s="132" t="s">
        <v>114</v>
      </c>
      <c r="D220" s="129"/>
      <c r="E220" s="129"/>
      <c r="F220" s="130"/>
      <c r="G220" s="399" t="s">
        <v>273</v>
      </c>
      <c r="H220" s="120">
        <v>26.17</v>
      </c>
      <c r="I220" s="417">
        <v>20.03</v>
      </c>
      <c r="J220" s="120">
        <v>73.13</v>
      </c>
      <c r="K220" s="404"/>
      <c r="L220" s="120">
        <f>J220+K220</f>
        <v>73.13</v>
      </c>
      <c r="M220" s="120">
        <f>H220*I220</f>
        <v>524.18510000000003</v>
      </c>
      <c r="N220" s="120">
        <f>H220*J220</f>
        <v>1913.8121000000001</v>
      </c>
      <c r="O220" s="404">
        <f>H220*K220</f>
        <v>0</v>
      </c>
      <c r="P220" s="991">
        <f>H220*L220</f>
        <v>1913.8121000000001</v>
      </c>
    </row>
    <row r="221" spans="1:19" ht="15.75">
      <c r="A221" s="260"/>
      <c r="B221" s="971"/>
      <c r="C221" s="132"/>
      <c r="D221" s="129"/>
      <c r="E221" s="129"/>
      <c r="F221" s="130"/>
      <c r="G221" s="399"/>
      <c r="H221" s="120"/>
      <c r="I221" s="417"/>
      <c r="J221" s="120"/>
      <c r="K221" s="404"/>
      <c r="L221" s="120"/>
      <c r="M221" s="120"/>
      <c r="N221" s="120"/>
      <c r="O221" s="404">
        <f t="shared" ref="O221:O250" si="42">H221*K221</f>
        <v>0</v>
      </c>
      <c r="P221" s="991"/>
    </row>
    <row r="222" spans="1:19" ht="15.75">
      <c r="A222" s="260"/>
      <c r="B222" s="971" t="s">
        <v>149</v>
      </c>
      <c r="C222" s="132" t="s">
        <v>94</v>
      </c>
      <c r="D222" s="129"/>
      <c r="E222" s="129"/>
      <c r="F222" s="130"/>
      <c r="G222" s="399"/>
      <c r="H222" s="120"/>
      <c r="I222" s="417"/>
      <c r="J222" s="120"/>
      <c r="K222" s="404"/>
      <c r="L222" s="120"/>
      <c r="M222" s="120"/>
      <c r="N222" s="120"/>
      <c r="O222" s="404">
        <f t="shared" si="42"/>
        <v>0</v>
      </c>
      <c r="P222" s="991"/>
    </row>
    <row r="223" spans="1:19" ht="18">
      <c r="A223" s="260"/>
      <c r="B223" s="971"/>
      <c r="C223" s="132" t="s">
        <v>95</v>
      </c>
      <c r="D223" s="129"/>
      <c r="E223" s="129"/>
      <c r="F223" s="130"/>
      <c r="G223" s="399" t="s">
        <v>273</v>
      </c>
      <c r="H223" s="120">
        <v>48.12</v>
      </c>
      <c r="I223" s="417">
        <v>20.03</v>
      </c>
      <c r="J223" s="120">
        <v>73.13</v>
      </c>
      <c r="K223" s="404"/>
      <c r="L223" s="120">
        <f>J223+K223</f>
        <v>73.13</v>
      </c>
      <c r="M223" s="120">
        <f>H223*I223</f>
        <v>963.84360000000004</v>
      </c>
      <c r="N223" s="120">
        <f>H223*J223</f>
        <v>3519.0155999999997</v>
      </c>
      <c r="O223" s="404">
        <f t="shared" si="42"/>
        <v>0</v>
      </c>
      <c r="P223" s="991">
        <f>H223*L223</f>
        <v>3519.0155999999997</v>
      </c>
    </row>
    <row r="224" spans="1:19" ht="15.75">
      <c r="A224" s="260"/>
      <c r="B224" s="971"/>
      <c r="C224" s="132"/>
      <c r="D224" s="129"/>
      <c r="E224" s="129"/>
      <c r="F224" s="130"/>
      <c r="G224" s="399"/>
      <c r="H224" s="120"/>
      <c r="I224" s="417"/>
      <c r="J224" s="120"/>
      <c r="K224" s="404"/>
      <c r="L224" s="120"/>
      <c r="M224" s="120"/>
      <c r="N224" s="120"/>
      <c r="O224" s="404">
        <f t="shared" si="42"/>
        <v>0</v>
      </c>
      <c r="P224" s="991"/>
    </row>
    <row r="225" spans="1:18" ht="15.75">
      <c r="A225" s="260"/>
      <c r="B225" s="971" t="s">
        <v>150</v>
      </c>
      <c r="C225" s="132" t="s">
        <v>105</v>
      </c>
      <c r="D225" s="129"/>
      <c r="E225" s="129"/>
      <c r="F225" s="130"/>
      <c r="G225" s="399"/>
      <c r="H225" s="120"/>
      <c r="I225" s="417"/>
      <c r="J225" s="120"/>
      <c r="K225" s="404"/>
      <c r="L225" s="120"/>
      <c r="M225" s="120"/>
      <c r="N225" s="120"/>
      <c r="O225" s="404">
        <f t="shared" si="42"/>
        <v>0</v>
      </c>
      <c r="P225" s="991"/>
    </row>
    <row r="226" spans="1:18" ht="18">
      <c r="A226" s="260"/>
      <c r="B226" s="971"/>
      <c r="C226" s="132" t="s">
        <v>106</v>
      </c>
      <c r="D226" s="129"/>
      <c r="E226" s="129"/>
      <c r="F226" s="130"/>
      <c r="G226" s="399" t="s">
        <v>273</v>
      </c>
      <c r="H226" s="120">
        <v>70.069999999999993</v>
      </c>
      <c r="I226" s="417">
        <v>6.01</v>
      </c>
      <c r="J226" s="120">
        <v>73.13</v>
      </c>
      <c r="K226" s="404"/>
      <c r="L226" s="120">
        <f>J226+K226</f>
        <v>73.13</v>
      </c>
      <c r="M226" s="120">
        <f>H226*I226</f>
        <v>421.12069999999994</v>
      </c>
      <c r="N226" s="120">
        <f>H226*J226</f>
        <v>5124.2190999999993</v>
      </c>
      <c r="O226" s="404">
        <f t="shared" si="42"/>
        <v>0</v>
      </c>
      <c r="P226" s="991">
        <f>H226*L226</f>
        <v>5124.2190999999993</v>
      </c>
    </row>
    <row r="227" spans="1:18" ht="15.75">
      <c r="A227" s="260"/>
      <c r="B227" s="971"/>
      <c r="C227" s="132"/>
      <c r="D227" s="129"/>
      <c r="E227" s="129"/>
      <c r="F227" s="130"/>
      <c r="G227" s="399"/>
      <c r="H227" s="120"/>
      <c r="I227" s="417"/>
      <c r="J227" s="120"/>
      <c r="K227" s="404"/>
      <c r="L227" s="120"/>
      <c r="M227" s="120"/>
      <c r="N227" s="120">
        <f t="shared" ref="N227:N244" si="43">H227*J227</f>
        <v>0</v>
      </c>
      <c r="O227" s="404">
        <f t="shared" si="42"/>
        <v>0</v>
      </c>
      <c r="P227" s="991"/>
    </row>
    <row r="228" spans="1:18" ht="15.75">
      <c r="A228" s="260"/>
      <c r="B228" s="971" t="s">
        <v>151</v>
      </c>
      <c r="C228" s="132" t="s">
        <v>111</v>
      </c>
      <c r="D228" s="129"/>
      <c r="E228" s="129"/>
      <c r="F228" s="130"/>
      <c r="G228" s="399"/>
      <c r="H228" s="120"/>
      <c r="I228" s="417"/>
      <c r="J228" s="120"/>
      <c r="K228" s="404"/>
      <c r="L228" s="120"/>
      <c r="M228" s="120"/>
      <c r="N228" s="120">
        <f t="shared" si="43"/>
        <v>0</v>
      </c>
      <c r="O228" s="404">
        <f t="shared" si="42"/>
        <v>0</v>
      </c>
      <c r="P228" s="991"/>
      <c r="R228" s="328"/>
    </row>
    <row r="229" spans="1:18" ht="18">
      <c r="A229" s="260"/>
      <c r="B229" s="971"/>
      <c r="C229" s="132" t="s">
        <v>107</v>
      </c>
      <c r="D229" s="129"/>
      <c r="E229" s="129"/>
      <c r="F229" s="130"/>
      <c r="G229" s="399" t="s">
        <v>273</v>
      </c>
      <c r="H229" s="120">
        <v>25.01</v>
      </c>
      <c r="I229" s="417">
        <v>34.11</v>
      </c>
      <c r="J229" s="120">
        <v>13.5</v>
      </c>
      <c r="K229" s="404"/>
      <c r="L229" s="120">
        <f>J229+K229</f>
        <v>13.5</v>
      </c>
      <c r="M229" s="120">
        <f>H229*I229</f>
        <v>853.09109999999998</v>
      </c>
      <c r="N229" s="120">
        <f t="shared" si="43"/>
        <v>337.63500000000005</v>
      </c>
      <c r="O229" s="404">
        <f t="shared" si="42"/>
        <v>0</v>
      </c>
      <c r="P229" s="991">
        <f>H229*L229</f>
        <v>337.63500000000005</v>
      </c>
    </row>
    <row r="230" spans="1:18" ht="15.75">
      <c r="A230" s="260"/>
      <c r="B230" s="971"/>
      <c r="C230" s="132"/>
      <c r="D230" s="129"/>
      <c r="E230" s="129"/>
      <c r="F230" s="130"/>
      <c r="G230" s="399"/>
      <c r="H230" s="120"/>
      <c r="I230" s="417"/>
      <c r="J230" s="120"/>
      <c r="K230" s="404"/>
      <c r="L230" s="120"/>
      <c r="M230" s="120"/>
      <c r="N230" s="120">
        <f t="shared" si="43"/>
        <v>0</v>
      </c>
      <c r="O230" s="404">
        <f t="shared" si="42"/>
        <v>0</v>
      </c>
      <c r="P230" s="991"/>
    </row>
    <row r="231" spans="1:18" ht="15.75">
      <c r="A231" s="260"/>
      <c r="B231" s="971" t="s">
        <v>152</v>
      </c>
      <c r="C231" s="132" t="s">
        <v>100</v>
      </c>
      <c r="D231" s="129"/>
      <c r="E231" s="129"/>
      <c r="F231" s="130"/>
      <c r="G231" s="399"/>
      <c r="H231" s="120"/>
      <c r="I231" s="417"/>
      <c r="J231" s="120"/>
      <c r="K231" s="404"/>
      <c r="L231" s="120"/>
      <c r="M231" s="120"/>
      <c r="N231" s="120">
        <f t="shared" si="43"/>
        <v>0</v>
      </c>
      <c r="O231" s="404">
        <f t="shared" si="42"/>
        <v>0</v>
      </c>
      <c r="P231" s="991"/>
    </row>
    <row r="232" spans="1:18" ht="18">
      <c r="A232" s="260"/>
      <c r="B232" s="971"/>
      <c r="C232" s="132" t="s">
        <v>108</v>
      </c>
      <c r="D232" s="129"/>
      <c r="E232" s="129"/>
      <c r="F232" s="130"/>
      <c r="G232" s="399" t="s">
        <v>273</v>
      </c>
      <c r="H232" s="120">
        <v>34.69</v>
      </c>
      <c r="I232" s="417">
        <v>57.57</v>
      </c>
      <c r="J232" s="120">
        <v>219.38</v>
      </c>
      <c r="K232" s="404"/>
      <c r="L232" s="120">
        <f>J232+K232</f>
        <v>219.38</v>
      </c>
      <c r="M232" s="120">
        <f>H232*I232</f>
        <v>1997.1033</v>
      </c>
      <c r="N232" s="120">
        <f t="shared" si="43"/>
        <v>7610.292199999999</v>
      </c>
      <c r="O232" s="404">
        <f t="shared" si="42"/>
        <v>0</v>
      </c>
      <c r="P232" s="991">
        <f>H232*L232</f>
        <v>7610.292199999999</v>
      </c>
    </row>
    <row r="233" spans="1:18" ht="16.5">
      <c r="A233" s="260"/>
      <c r="B233" s="975"/>
      <c r="C233" s="285" t="s">
        <v>854</v>
      </c>
      <c r="D233" s="1110"/>
      <c r="E233" s="249"/>
      <c r="F233" s="250"/>
      <c r="G233" s="462"/>
      <c r="H233" s="158"/>
      <c r="I233" s="419"/>
      <c r="J233" s="158"/>
      <c r="K233" s="406"/>
      <c r="L233" s="120">
        <f t="shared" ref="L233:L283" si="44">J233+K233</f>
        <v>0</v>
      </c>
      <c r="M233" s="120">
        <f>H233*I233</f>
        <v>0</v>
      </c>
      <c r="N233" s="120">
        <f t="shared" si="43"/>
        <v>0</v>
      </c>
      <c r="O233" s="404">
        <f t="shared" si="42"/>
        <v>0</v>
      </c>
      <c r="P233" s="991">
        <f t="shared" ref="P233:P283" si="45">H233*L233</f>
        <v>0</v>
      </c>
    </row>
    <row r="234" spans="1:18" ht="15.6" customHeight="1">
      <c r="A234" s="260"/>
      <c r="B234" s="975" t="s">
        <v>855</v>
      </c>
      <c r="C234" s="1367" t="s">
        <v>558</v>
      </c>
      <c r="D234" s="1368"/>
      <c r="E234" s="1368"/>
      <c r="F234" s="1369"/>
      <c r="G234" s="464"/>
      <c r="H234" s="158"/>
      <c r="I234" s="419"/>
      <c r="J234" s="158"/>
      <c r="K234" s="406"/>
      <c r="L234" s="120">
        <f t="shared" si="44"/>
        <v>0</v>
      </c>
      <c r="M234" s="120">
        <f>H234*I234</f>
        <v>0</v>
      </c>
      <c r="N234" s="120">
        <f t="shared" si="43"/>
        <v>0</v>
      </c>
      <c r="O234" s="404">
        <f t="shared" si="42"/>
        <v>0</v>
      </c>
      <c r="P234" s="991">
        <f t="shared" si="45"/>
        <v>0</v>
      </c>
    </row>
    <row r="235" spans="1:18" ht="19.5" thickBot="1">
      <c r="A235" s="260"/>
      <c r="B235" s="996"/>
      <c r="C235" s="997" t="s">
        <v>268</v>
      </c>
      <c r="D235" s="979"/>
      <c r="E235" s="980"/>
      <c r="F235" s="981"/>
      <c r="G235" s="982" t="s">
        <v>580</v>
      </c>
      <c r="H235" s="998">
        <v>35.47</v>
      </c>
      <c r="I235" s="999">
        <v>9.875</v>
      </c>
      <c r="J235" s="985">
        <v>10.53</v>
      </c>
      <c r="K235" s="986"/>
      <c r="L235" s="985">
        <f t="shared" si="44"/>
        <v>10.53</v>
      </c>
      <c r="M235" s="985">
        <f>H235*I235</f>
        <v>350.26625000000001</v>
      </c>
      <c r="N235" s="985">
        <f t="shared" si="43"/>
        <v>373.49909999999994</v>
      </c>
      <c r="O235" s="986">
        <f t="shared" si="42"/>
        <v>0</v>
      </c>
      <c r="P235" s="1000">
        <f t="shared" si="45"/>
        <v>373.49909999999994</v>
      </c>
    </row>
    <row r="236" spans="1:18" ht="15.6" customHeight="1">
      <c r="A236" s="260"/>
      <c r="B236" s="1001" t="s">
        <v>856</v>
      </c>
      <c r="C236" s="1416" t="s">
        <v>582</v>
      </c>
      <c r="D236" s="1417"/>
      <c r="E236" s="1417"/>
      <c r="F236" s="1418"/>
      <c r="G236" s="1002"/>
      <c r="H236" s="1003"/>
      <c r="I236" s="1004"/>
      <c r="J236" s="1003"/>
      <c r="K236" s="1005"/>
      <c r="L236" s="967">
        <f t="shared" si="44"/>
        <v>0</v>
      </c>
      <c r="M236" s="967">
        <f t="shared" ref="M236:M250" si="46">H236*I236</f>
        <v>0</v>
      </c>
      <c r="N236" s="967">
        <f t="shared" si="43"/>
        <v>0</v>
      </c>
      <c r="O236" s="969">
        <f t="shared" si="42"/>
        <v>0</v>
      </c>
      <c r="P236" s="970">
        <f t="shared" si="45"/>
        <v>0</v>
      </c>
    </row>
    <row r="237" spans="1:18" ht="15.75">
      <c r="A237" s="260"/>
      <c r="B237" s="976"/>
      <c r="C237" s="467" t="s">
        <v>723</v>
      </c>
      <c r="D237" s="941"/>
      <c r="E237" s="249"/>
      <c r="F237" s="250"/>
      <c r="G237" s="463" t="s">
        <v>614</v>
      </c>
      <c r="H237" s="158">
        <f>[1]BOQ!$E$431</f>
        <v>1434.18</v>
      </c>
      <c r="I237" s="419">
        <f>[1]BOQ!$D$431</f>
        <v>2.46875</v>
      </c>
      <c r="J237" s="158">
        <v>2.4700000000000002</v>
      </c>
      <c r="K237" s="406"/>
      <c r="L237" s="120">
        <f t="shared" si="44"/>
        <v>2.4700000000000002</v>
      </c>
      <c r="M237" s="120">
        <f t="shared" si="46"/>
        <v>3540.631875</v>
      </c>
      <c r="N237" s="120">
        <f t="shared" si="43"/>
        <v>3542.4246000000003</v>
      </c>
      <c r="O237" s="404">
        <f t="shared" si="42"/>
        <v>0</v>
      </c>
      <c r="P237" s="127">
        <f t="shared" si="45"/>
        <v>3542.4246000000003</v>
      </c>
    </row>
    <row r="238" spans="1:18" ht="22.15" customHeight="1">
      <c r="A238" s="260"/>
      <c r="B238" s="976"/>
      <c r="C238" s="467" t="s">
        <v>725</v>
      </c>
      <c r="D238" s="941"/>
      <c r="E238" s="249"/>
      <c r="F238" s="250"/>
      <c r="G238" s="463" t="s">
        <v>614</v>
      </c>
      <c r="H238" s="260"/>
      <c r="I238" s="1006"/>
      <c r="J238" s="158"/>
      <c r="K238" s="433"/>
      <c r="L238" s="120"/>
      <c r="M238" s="120">
        <f t="shared" si="46"/>
        <v>0</v>
      </c>
      <c r="N238" s="120">
        <f>H240*J238</f>
        <v>0</v>
      </c>
      <c r="O238" s="404">
        <f t="shared" si="42"/>
        <v>0</v>
      </c>
      <c r="P238" s="127">
        <f t="shared" si="45"/>
        <v>0</v>
      </c>
    </row>
    <row r="239" spans="1:18" ht="15.75">
      <c r="A239" s="260"/>
      <c r="B239" s="976"/>
      <c r="C239" s="467" t="s">
        <v>726</v>
      </c>
      <c r="D239" s="941"/>
      <c r="E239" s="249"/>
      <c r="F239" s="250"/>
      <c r="G239" s="463" t="s">
        <v>614</v>
      </c>
      <c r="H239" s="158"/>
      <c r="I239" s="419"/>
      <c r="J239" s="158"/>
      <c r="K239" s="406"/>
      <c r="L239" s="120">
        <f t="shared" si="44"/>
        <v>0</v>
      </c>
      <c r="M239" s="120">
        <f t="shared" si="46"/>
        <v>0</v>
      </c>
      <c r="N239" s="120">
        <f t="shared" si="43"/>
        <v>0</v>
      </c>
      <c r="O239" s="404">
        <f t="shared" si="42"/>
        <v>0</v>
      </c>
      <c r="P239" s="127">
        <f t="shared" si="45"/>
        <v>0</v>
      </c>
    </row>
    <row r="240" spans="1:18" ht="15" customHeight="1">
      <c r="A240" s="260"/>
      <c r="B240" s="976"/>
      <c r="C240" s="467" t="s">
        <v>727</v>
      </c>
      <c r="D240" s="941"/>
      <c r="E240" s="249"/>
      <c r="F240" s="250"/>
      <c r="G240" s="463" t="s">
        <v>614</v>
      </c>
      <c r="H240" s="158">
        <f>[1]BOQ!$E$431</f>
        <v>1434.18</v>
      </c>
      <c r="I240" s="419">
        <f>[1]BOQ!$D$432</f>
        <v>8.3637499999999996</v>
      </c>
      <c r="J240" s="158">
        <v>8.36</v>
      </c>
      <c r="K240" s="406"/>
      <c r="L240" s="120">
        <v>8.36</v>
      </c>
      <c r="M240" s="120">
        <f t="shared" si="46"/>
        <v>11995.122975</v>
      </c>
      <c r="N240" s="120"/>
      <c r="O240" s="404">
        <f t="shared" si="42"/>
        <v>0</v>
      </c>
      <c r="P240" s="127">
        <f t="shared" si="45"/>
        <v>11989.7448</v>
      </c>
    </row>
    <row r="241" spans="1:16" ht="15.75">
      <c r="A241" s="260"/>
      <c r="B241" s="976"/>
      <c r="C241" s="467" t="s">
        <v>728</v>
      </c>
      <c r="D241" s="941"/>
      <c r="E241" s="249"/>
      <c r="F241" s="250"/>
      <c r="G241" s="463" t="s">
        <v>614</v>
      </c>
      <c r="H241" s="158">
        <f>[1]BOQ!$E$431</f>
        <v>1434.18</v>
      </c>
      <c r="I241" s="419"/>
      <c r="J241" s="158">
        <v>0.91</v>
      </c>
      <c r="K241" s="406"/>
      <c r="L241" s="120">
        <f t="shared" si="44"/>
        <v>0.91</v>
      </c>
      <c r="M241" s="120">
        <f t="shared" si="46"/>
        <v>0</v>
      </c>
      <c r="N241" s="120">
        <f>H241*J241</f>
        <v>1305.1038000000001</v>
      </c>
      <c r="O241" s="404">
        <f t="shared" si="42"/>
        <v>0</v>
      </c>
      <c r="P241" s="127">
        <f t="shared" si="45"/>
        <v>1305.1038000000001</v>
      </c>
    </row>
    <row r="242" spans="1:16" ht="15.6" customHeight="1">
      <c r="A242" s="260"/>
      <c r="B242" s="1007" t="s">
        <v>857</v>
      </c>
      <c r="C242" s="1428" t="s">
        <v>560</v>
      </c>
      <c r="D242" s="1429"/>
      <c r="E242" s="1429"/>
      <c r="F242" s="1430"/>
      <c r="G242" s="464"/>
      <c r="H242" s="158"/>
      <c r="I242" s="419"/>
      <c r="J242" s="158"/>
      <c r="K242" s="406"/>
      <c r="L242" s="120">
        <f t="shared" si="44"/>
        <v>0</v>
      </c>
      <c r="M242" s="120">
        <f t="shared" si="46"/>
        <v>0</v>
      </c>
      <c r="N242" s="120">
        <f t="shared" si="43"/>
        <v>0</v>
      </c>
      <c r="O242" s="404">
        <f t="shared" si="42"/>
        <v>0</v>
      </c>
      <c r="P242" s="127">
        <f t="shared" si="45"/>
        <v>0</v>
      </c>
    </row>
    <row r="243" spans="1:16" ht="15.6" customHeight="1">
      <c r="A243" s="260"/>
      <c r="B243" s="1008"/>
      <c r="C243" s="1367" t="s">
        <v>621</v>
      </c>
      <c r="D243" s="1368"/>
      <c r="E243" s="1368"/>
      <c r="F243" s="1369"/>
      <c r="G243" s="469" t="s">
        <v>580</v>
      </c>
      <c r="H243" s="158"/>
      <c r="I243" s="419"/>
      <c r="J243" s="158"/>
      <c r="K243" s="406"/>
      <c r="L243" s="120">
        <f t="shared" si="44"/>
        <v>0</v>
      </c>
      <c r="M243" s="120">
        <f t="shared" si="46"/>
        <v>0</v>
      </c>
      <c r="N243" s="120">
        <f t="shared" si="43"/>
        <v>0</v>
      </c>
      <c r="O243" s="404">
        <f t="shared" si="42"/>
        <v>0</v>
      </c>
      <c r="P243" s="127">
        <f t="shared" si="45"/>
        <v>0</v>
      </c>
    </row>
    <row r="244" spans="1:16" ht="15.6" customHeight="1">
      <c r="A244" s="260"/>
      <c r="B244" s="1008"/>
      <c r="C244" s="1367" t="s">
        <v>730</v>
      </c>
      <c r="D244" s="1368"/>
      <c r="E244" s="1368"/>
      <c r="F244" s="1369"/>
      <c r="G244" s="469" t="s">
        <v>580</v>
      </c>
      <c r="H244" s="158"/>
      <c r="I244" s="419"/>
      <c r="J244" s="158"/>
      <c r="K244" s="406"/>
      <c r="L244" s="120">
        <f t="shared" si="44"/>
        <v>0</v>
      </c>
      <c r="M244" s="120">
        <f t="shared" si="46"/>
        <v>0</v>
      </c>
      <c r="N244" s="120">
        <f t="shared" si="43"/>
        <v>0</v>
      </c>
      <c r="O244" s="404">
        <f t="shared" si="42"/>
        <v>0</v>
      </c>
      <c r="P244" s="127">
        <f t="shared" si="45"/>
        <v>0</v>
      </c>
    </row>
    <row r="245" spans="1:16" ht="15.6" customHeight="1">
      <c r="A245" s="260"/>
      <c r="B245" s="1008"/>
      <c r="C245" s="1367" t="s">
        <v>731</v>
      </c>
      <c r="D245" s="1368"/>
      <c r="E245" s="1368"/>
      <c r="F245" s="1369"/>
      <c r="G245" s="469" t="s">
        <v>580</v>
      </c>
      <c r="H245" s="158">
        <f>[1]BOQ!$E$436</f>
        <v>58.19</v>
      </c>
      <c r="I245" s="419">
        <v>66.91</v>
      </c>
      <c r="J245" s="158">
        <v>64.040000000000006</v>
      </c>
      <c r="K245" s="406"/>
      <c r="L245" s="120">
        <f t="shared" si="44"/>
        <v>64.040000000000006</v>
      </c>
      <c r="M245" s="120">
        <f t="shared" si="46"/>
        <v>3893.4928999999997</v>
      </c>
      <c r="N245" s="120">
        <f>H245*J245</f>
        <v>3726.4876000000004</v>
      </c>
      <c r="O245" s="404">
        <f t="shared" si="42"/>
        <v>0</v>
      </c>
      <c r="P245" s="127">
        <f t="shared" si="45"/>
        <v>3726.4876000000004</v>
      </c>
    </row>
    <row r="246" spans="1:16" ht="15.6" customHeight="1">
      <c r="A246" s="260"/>
      <c r="B246" s="1008"/>
      <c r="C246" s="1367" t="s">
        <v>732</v>
      </c>
      <c r="D246" s="1368"/>
      <c r="E246" s="1368"/>
      <c r="F246" s="1369"/>
      <c r="G246" s="469" t="s">
        <v>580</v>
      </c>
      <c r="H246" s="158"/>
      <c r="I246" s="419"/>
      <c r="J246" s="158">
        <v>10.54</v>
      </c>
      <c r="K246" s="406"/>
      <c r="L246" s="120">
        <f t="shared" si="44"/>
        <v>10.54</v>
      </c>
      <c r="M246" s="120">
        <f t="shared" si="46"/>
        <v>0</v>
      </c>
      <c r="N246" s="120">
        <f>H246*J246</f>
        <v>0</v>
      </c>
      <c r="O246" s="404">
        <f t="shared" si="42"/>
        <v>0</v>
      </c>
      <c r="P246" s="127">
        <f t="shared" si="45"/>
        <v>0</v>
      </c>
    </row>
    <row r="247" spans="1:16" ht="15.6" customHeight="1">
      <c r="A247" s="260"/>
      <c r="B247" s="1007" t="s">
        <v>858</v>
      </c>
      <c r="C247" s="1367" t="s">
        <v>626</v>
      </c>
      <c r="D247" s="1368"/>
      <c r="E247" s="1368"/>
      <c r="F247" s="1369"/>
      <c r="G247" s="464"/>
      <c r="H247" s="158"/>
      <c r="I247" s="419"/>
      <c r="J247" s="158"/>
      <c r="K247" s="406"/>
      <c r="L247" s="120">
        <f t="shared" si="44"/>
        <v>0</v>
      </c>
      <c r="M247" s="120">
        <f t="shared" si="46"/>
        <v>0</v>
      </c>
      <c r="N247" s="120">
        <f t="shared" ref="N247:N250" si="47">H247*J247</f>
        <v>0</v>
      </c>
      <c r="O247" s="404">
        <f t="shared" si="42"/>
        <v>0</v>
      </c>
      <c r="P247" s="127">
        <f t="shared" si="45"/>
        <v>0</v>
      </c>
    </row>
    <row r="248" spans="1:16" ht="15.6" customHeight="1">
      <c r="A248" s="260"/>
      <c r="B248" s="975"/>
      <c r="C248" s="1367" t="s">
        <v>734</v>
      </c>
      <c r="D248" s="1368"/>
      <c r="E248" s="1368"/>
      <c r="F248" s="1369"/>
      <c r="G248" s="464" t="s">
        <v>589</v>
      </c>
      <c r="H248" s="398">
        <v>2.61</v>
      </c>
      <c r="I248" s="484">
        <v>845.92</v>
      </c>
      <c r="J248" s="585">
        <v>819.02</v>
      </c>
      <c r="K248" s="485"/>
      <c r="L248" s="120">
        <f t="shared" si="44"/>
        <v>819.02</v>
      </c>
      <c r="M248" s="120">
        <f t="shared" si="46"/>
        <v>2207.8511999999996</v>
      </c>
      <c r="N248" s="120">
        <f t="shared" si="47"/>
        <v>2137.6421999999998</v>
      </c>
      <c r="O248" s="404">
        <f t="shared" si="42"/>
        <v>0</v>
      </c>
      <c r="P248" s="127">
        <f t="shared" si="45"/>
        <v>2137.6421999999998</v>
      </c>
    </row>
    <row r="249" spans="1:16" ht="15.6" customHeight="1">
      <c r="A249" s="260"/>
      <c r="B249" s="975"/>
      <c r="C249" s="1367" t="s">
        <v>735</v>
      </c>
      <c r="D249" s="1368"/>
      <c r="E249" s="1368"/>
      <c r="F249" s="1369"/>
      <c r="G249" s="464" t="s">
        <v>589</v>
      </c>
      <c r="H249" s="120">
        <v>2.02</v>
      </c>
      <c r="I249" s="417">
        <v>720.56</v>
      </c>
      <c r="J249" s="120">
        <v>518.16</v>
      </c>
      <c r="K249" s="404"/>
      <c r="L249" s="120">
        <f t="shared" si="44"/>
        <v>518.16</v>
      </c>
      <c r="M249" s="120">
        <f t="shared" si="46"/>
        <v>1455.5311999999999</v>
      </c>
      <c r="N249" s="120">
        <f t="shared" si="47"/>
        <v>1046.6831999999999</v>
      </c>
      <c r="O249" s="404">
        <f t="shared" si="42"/>
        <v>0</v>
      </c>
      <c r="P249" s="127">
        <f t="shared" si="45"/>
        <v>1046.6831999999999</v>
      </c>
    </row>
    <row r="250" spans="1:16" ht="15.6" customHeight="1">
      <c r="A250" s="260"/>
      <c r="B250" s="1007" t="s">
        <v>859</v>
      </c>
      <c r="C250" s="1367" t="s">
        <v>591</v>
      </c>
      <c r="D250" s="1368"/>
      <c r="E250" s="1368"/>
      <c r="F250" s="1369"/>
      <c r="G250" s="469" t="s">
        <v>592</v>
      </c>
      <c r="H250" s="120">
        <v>235</v>
      </c>
      <c r="I250" s="417">
        <v>0</v>
      </c>
      <c r="J250" s="120">
        <v>22</v>
      </c>
      <c r="K250" s="404"/>
      <c r="L250" s="120">
        <f t="shared" si="44"/>
        <v>22</v>
      </c>
      <c r="M250" s="120">
        <f t="shared" si="46"/>
        <v>0</v>
      </c>
      <c r="N250" s="120">
        <f t="shared" si="47"/>
        <v>5170</v>
      </c>
      <c r="O250" s="404">
        <f t="shared" si="42"/>
        <v>0</v>
      </c>
      <c r="P250" s="127">
        <f t="shared" si="45"/>
        <v>5170</v>
      </c>
    </row>
    <row r="251" spans="1:16" ht="15.6" customHeight="1">
      <c r="A251" s="260"/>
      <c r="B251" s="1007"/>
      <c r="C251" s="931"/>
      <c r="D251" s="932"/>
      <c r="E251" s="932"/>
      <c r="F251" s="933"/>
      <c r="G251" s="469"/>
      <c r="H251" s="120"/>
      <c r="I251" s="417"/>
      <c r="J251" s="120"/>
      <c r="K251" s="404"/>
      <c r="L251" s="120">
        <f t="shared" si="44"/>
        <v>0</v>
      </c>
      <c r="M251" s="120">
        <f t="shared" ref="M251:M283" si="48">H251*I251</f>
        <v>0</v>
      </c>
      <c r="N251" s="120"/>
      <c r="O251" s="404">
        <f t="shared" ref="O251:O283" si="49">H251*K251</f>
        <v>0</v>
      </c>
      <c r="P251" s="127">
        <f t="shared" si="45"/>
        <v>0</v>
      </c>
    </row>
    <row r="252" spans="1:16" ht="15.75">
      <c r="A252" s="260"/>
      <c r="B252" s="1009"/>
      <c r="C252" s="156"/>
      <c r="D252" s="159"/>
      <c r="E252" s="159"/>
      <c r="F252" s="143"/>
      <c r="G252" s="157"/>
      <c r="H252" s="158"/>
      <c r="I252" s="419"/>
      <c r="J252" s="158"/>
      <c r="K252" s="406"/>
      <c r="L252" s="120">
        <f t="shared" si="44"/>
        <v>0</v>
      </c>
      <c r="M252" s="120">
        <f t="shared" si="48"/>
        <v>0</v>
      </c>
      <c r="N252" s="120"/>
      <c r="O252" s="404">
        <f t="shared" si="49"/>
        <v>0</v>
      </c>
      <c r="P252" s="127">
        <f t="shared" si="45"/>
        <v>0</v>
      </c>
    </row>
    <row r="253" spans="1:16" ht="18">
      <c r="A253" s="260"/>
      <c r="B253" s="971"/>
      <c r="C253" s="138" t="s">
        <v>1121</v>
      </c>
      <c r="D253" s="139"/>
      <c r="E253" s="139"/>
      <c r="F253" s="140"/>
      <c r="G253" s="221"/>
      <c r="H253" s="158"/>
      <c r="I253" s="419"/>
      <c r="J253" s="158"/>
      <c r="K253" s="406"/>
      <c r="L253" s="120">
        <f t="shared" si="44"/>
        <v>0</v>
      </c>
      <c r="M253" s="120">
        <f t="shared" si="48"/>
        <v>0</v>
      </c>
      <c r="N253" s="120"/>
      <c r="O253" s="404">
        <f t="shared" si="49"/>
        <v>0</v>
      </c>
      <c r="P253" s="127">
        <f t="shared" si="45"/>
        <v>0</v>
      </c>
    </row>
    <row r="254" spans="1:16" ht="18">
      <c r="A254" s="260"/>
      <c r="B254" s="971"/>
      <c r="C254" s="138" t="s">
        <v>993</v>
      </c>
      <c r="D254" s="133"/>
      <c r="E254" s="133"/>
      <c r="F254" s="141"/>
      <c r="G254" s="221"/>
      <c r="H254" s="158"/>
      <c r="I254" s="419"/>
      <c r="J254" s="158"/>
      <c r="K254" s="406"/>
      <c r="L254" s="120">
        <f t="shared" si="44"/>
        <v>0</v>
      </c>
      <c r="M254" s="120">
        <f t="shared" si="48"/>
        <v>0</v>
      </c>
      <c r="N254" s="120"/>
      <c r="O254" s="404">
        <f t="shared" si="49"/>
        <v>0</v>
      </c>
      <c r="P254" s="127">
        <f t="shared" si="45"/>
        <v>0</v>
      </c>
    </row>
    <row r="255" spans="1:16" ht="15.75">
      <c r="A255" s="260"/>
      <c r="B255" s="971"/>
      <c r="C255" s="128"/>
      <c r="D255" s="133"/>
      <c r="E255" s="133"/>
      <c r="F255" s="130"/>
      <c r="G255" s="399"/>
      <c r="H255" s="158"/>
      <c r="I255" s="419"/>
      <c r="J255" s="158"/>
      <c r="K255" s="406"/>
      <c r="L255" s="120">
        <f t="shared" si="44"/>
        <v>0</v>
      </c>
      <c r="M255" s="120">
        <f t="shared" si="48"/>
        <v>0</v>
      </c>
      <c r="N255" s="120"/>
      <c r="O255" s="404">
        <f t="shared" si="49"/>
        <v>0</v>
      </c>
      <c r="P255" s="127">
        <f t="shared" si="45"/>
        <v>0</v>
      </c>
    </row>
    <row r="256" spans="1:16" ht="15.75">
      <c r="A256" s="260"/>
      <c r="B256" s="971" t="s">
        <v>1122</v>
      </c>
      <c r="C256" s="132" t="s">
        <v>113</v>
      </c>
      <c r="D256" s="129"/>
      <c r="E256" s="129"/>
      <c r="F256" s="130"/>
      <c r="G256" s="399"/>
      <c r="H256" s="158"/>
      <c r="I256" s="419"/>
      <c r="J256" s="158"/>
      <c r="K256" s="406"/>
      <c r="L256" s="120">
        <f t="shared" si="44"/>
        <v>0</v>
      </c>
      <c r="M256" s="120">
        <f t="shared" si="48"/>
        <v>0</v>
      </c>
      <c r="N256" s="120"/>
      <c r="O256" s="404">
        <f t="shared" si="49"/>
        <v>0</v>
      </c>
      <c r="P256" s="127">
        <f t="shared" si="45"/>
        <v>0</v>
      </c>
    </row>
    <row r="257" spans="1:16" ht="18">
      <c r="A257" s="260"/>
      <c r="B257" s="971"/>
      <c r="C257" s="132" t="s">
        <v>114</v>
      </c>
      <c r="D257" s="129"/>
      <c r="E257" s="129"/>
      <c r="F257" s="130"/>
      <c r="G257" s="399" t="s">
        <v>273</v>
      </c>
      <c r="H257" s="120">
        <v>26.17</v>
      </c>
      <c r="I257" s="419">
        <v>43.37</v>
      </c>
      <c r="J257" s="158">
        <v>53.63</v>
      </c>
      <c r="K257" s="406">
        <v>0</v>
      </c>
      <c r="L257" s="120">
        <f t="shared" si="44"/>
        <v>53.63</v>
      </c>
      <c r="M257" s="120">
        <f t="shared" si="48"/>
        <v>1134.9929</v>
      </c>
      <c r="N257" s="120"/>
      <c r="O257" s="404">
        <f t="shared" si="49"/>
        <v>0</v>
      </c>
      <c r="P257" s="127">
        <f t="shared" si="45"/>
        <v>1403.4971</v>
      </c>
    </row>
    <row r="258" spans="1:16" ht="15.75">
      <c r="A258" s="260"/>
      <c r="B258" s="971"/>
      <c r="C258" s="132"/>
      <c r="D258" s="129"/>
      <c r="E258" s="129"/>
      <c r="F258" s="130"/>
      <c r="G258" s="399"/>
      <c r="H258" s="120"/>
      <c r="I258" s="419"/>
      <c r="J258" s="158"/>
      <c r="K258" s="406"/>
      <c r="L258" s="120">
        <f t="shared" si="44"/>
        <v>0</v>
      </c>
      <c r="M258" s="120">
        <f t="shared" si="48"/>
        <v>0</v>
      </c>
      <c r="N258" s="120"/>
      <c r="O258" s="404">
        <f t="shared" si="49"/>
        <v>0</v>
      </c>
      <c r="P258" s="127">
        <f t="shared" si="45"/>
        <v>0</v>
      </c>
    </row>
    <row r="259" spans="1:16" ht="15.75">
      <c r="A259" s="260"/>
      <c r="B259" s="971" t="s">
        <v>1122</v>
      </c>
      <c r="C259" s="132" t="s">
        <v>94</v>
      </c>
      <c r="D259" s="129"/>
      <c r="E259" s="129"/>
      <c r="F259" s="130"/>
      <c r="G259" s="399"/>
      <c r="H259" s="120"/>
      <c r="I259" s="419"/>
      <c r="J259" s="158"/>
      <c r="K259" s="406"/>
      <c r="L259" s="120">
        <f t="shared" si="44"/>
        <v>0</v>
      </c>
      <c r="M259" s="120">
        <f t="shared" si="48"/>
        <v>0</v>
      </c>
      <c r="N259" s="120"/>
      <c r="O259" s="404">
        <f t="shared" si="49"/>
        <v>0</v>
      </c>
      <c r="P259" s="127">
        <f t="shared" si="45"/>
        <v>0</v>
      </c>
    </row>
    <row r="260" spans="1:16" ht="18">
      <c r="A260" s="260"/>
      <c r="B260" s="971"/>
      <c r="C260" s="132" t="s">
        <v>95</v>
      </c>
      <c r="D260" s="129"/>
      <c r="E260" s="129"/>
      <c r="F260" s="130"/>
      <c r="G260" s="399" t="s">
        <v>273</v>
      </c>
      <c r="H260" s="120">
        <v>48.12</v>
      </c>
      <c r="I260" s="419">
        <v>9</v>
      </c>
      <c r="J260" s="158">
        <v>35.75</v>
      </c>
      <c r="K260" s="406">
        <v>0</v>
      </c>
      <c r="L260" s="120">
        <f t="shared" si="44"/>
        <v>35.75</v>
      </c>
      <c r="M260" s="120">
        <f t="shared" si="48"/>
        <v>433.08</v>
      </c>
      <c r="N260" s="120"/>
      <c r="O260" s="404">
        <f t="shared" si="49"/>
        <v>0</v>
      </c>
      <c r="P260" s="127">
        <f t="shared" si="45"/>
        <v>1720.29</v>
      </c>
    </row>
    <row r="261" spans="1:16" ht="15.75">
      <c r="A261" s="260"/>
      <c r="B261" s="971"/>
      <c r="C261" s="132"/>
      <c r="D261" s="129"/>
      <c r="E261" s="129"/>
      <c r="F261" s="130"/>
      <c r="G261" s="399"/>
      <c r="H261" s="120"/>
      <c r="I261" s="419"/>
      <c r="J261" s="158"/>
      <c r="K261" s="406"/>
      <c r="L261" s="120">
        <f t="shared" si="44"/>
        <v>0</v>
      </c>
      <c r="M261" s="120">
        <f t="shared" si="48"/>
        <v>0</v>
      </c>
      <c r="N261" s="120"/>
      <c r="O261" s="404">
        <f t="shared" si="49"/>
        <v>0</v>
      </c>
      <c r="P261" s="127">
        <f t="shared" si="45"/>
        <v>0</v>
      </c>
    </row>
    <row r="262" spans="1:16" ht="15.75">
      <c r="A262" s="260"/>
      <c r="B262" s="971" t="s">
        <v>150</v>
      </c>
      <c r="C262" s="132" t="s">
        <v>105</v>
      </c>
      <c r="D262" s="129"/>
      <c r="E262" s="129"/>
      <c r="F262" s="130"/>
      <c r="G262" s="399"/>
      <c r="H262" s="120"/>
      <c r="I262" s="419"/>
      <c r="J262" s="158"/>
      <c r="K262" s="406"/>
      <c r="L262" s="120">
        <f t="shared" si="44"/>
        <v>0</v>
      </c>
      <c r="M262" s="120">
        <f t="shared" si="48"/>
        <v>0</v>
      </c>
      <c r="N262" s="120"/>
      <c r="O262" s="404">
        <f t="shared" si="49"/>
        <v>0</v>
      </c>
      <c r="P262" s="127">
        <f t="shared" si="45"/>
        <v>0</v>
      </c>
    </row>
    <row r="263" spans="1:16" ht="18">
      <c r="A263" s="260"/>
      <c r="B263" s="971"/>
      <c r="C263" s="132" t="s">
        <v>106</v>
      </c>
      <c r="D263" s="129"/>
      <c r="E263" s="129"/>
      <c r="F263" s="130"/>
      <c r="G263" s="399" t="s">
        <v>273</v>
      </c>
      <c r="H263" s="120">
        <v>70.069999999999993</v>
      </c>
      <c r="I263" s="419">
        <v>0</v>
      </c>
      <c r="J263" s="158"/>
      <c r="K263" s="406"/>
      <c r="L263" s="120">
        <f t="shared" si="44"/>
        <v>0</v>
      </c>
      <c r="M263" s="120">
        <f t="shared" si="48"/>
        <v>0</v>
      </c>
      <c r="N263" s="120"/>
      <c r="O263" s="404">
        <f t="shared" si="49"/>
        <v>0</v>
      </c>
      <c r="P263" s="127">
        <f t="shared" si="45"/>
        <v>0</v>
      </c>
    </row>
    <row r="264" spans="1:16" ht="15.75">
      <c r="A264" s="260"/>
      <c r="B264" s="971"/>
      <c r="C264" s="132"/>
      <c r="D264" s="129"/>
      <c r="E264" s="129"/>
      <c r="F264" s="130"/>
      <c r="G264" s="399"/>
      <c r="H264" s="120"/>
      <c r="I264" s="419"/>
      <c r="J264" s="158"/>
      <c r="K264" s="406"/>
      <c r="L264" s="120">
        <f t="shared" si="44"/>
        <v>0</v>
      </c>
      <c r="M264" s="120">
        <f t="shared" si="48"/>
        <v>0</v>
      </c>
      <c r="N264" s="120"/>
      <c r="O264" s="404">
        <f t="shared" si="49"/>
        <v>0</v>
      </c>
      <c r="P264" s="127">
        <f t="shared" si="45"/>
        <v>0</v>
      </c>
    </row>
    <row r="265" spans="1:16" ht="15.75">
      <c r="A265" s="260"/>
      <c r="B265" s="971" t="s">
        <v>151</v>
      </c>
      <c r="C265" s="132" t="s">
        <v>996</v>
      </c>
      <c r="D265" s="129"/>
      <c r="E265" s="129"/>
      <c r="F265" s="130"/>
      <c r="G265" s="399"/>
      <c r="H265" s="120"/>
      <c r="I265" s="419"/>
      <c r="J265" s="158"/>
      <c r="K265" s="406"/>
      <c r="L265" s="120">
        <f t="shared" si="44"/>
        <v>0</v>
      </c>
      <c r="M265" s="120">
        <f t="shared" si="48"/>
        <v>0</v>
      </c>
      <c r="N265" s="120"/>
      <c r="O265" s="404">
        <f t="shared" si="49"/>
        <v>0</v>
      </c>
      <c r="P265" s="127">
        <f t="shared" si="45"/>
        <v>0</v>
      </c>
    </row>
    <row r="266" spans="1:16" ht="18">
      <c r="A266" s="260"/>
      <c r="B266" s="971"/>
      <c r="C266" s="132" t="s">
        <v>107</v>
      </c>
      <c r="D266" s="129"/>
      <c r="E266" s="129"/>
      <c r="F266" s="130"/>
      <c r="G266" s="399" t="s">
        <v>273</v>
      </c>
      <c r="H266" s="120">
        <v>25.01</v>
      </c>
      <c r="I266" s="419">
        <v>30.24</v>
      </c>
      <c r="J266" s="158">
        <v>89.38</v>
      </c>
      <c r="K266" s="406">
        <v>0</v>
      </c>
      <c r="L266" s="120">
        <f t="shared" si="44"/>
        <v>89.38</v>
      </c>
      <c r="M266" s="120">
        <f t="shared" si="48"/>
        <v>756.30240000000003</v>
      </c>
      <c r="N266" s="120"/>
      <c r="O266" s="404">
        <f t="shared" si="49"/>
        <v>0</v>
      </c>
      <c r="P266" s="127">
        <f t="shared" si="45"/>
        <v>2235.3937999999998</v>
      </c>
    </row>
    <row r="267" spans="1:16" ht="15.75">
      <c r="A267" s="260"/>
      <c r="B267" s="971"/>
      <c r="C267" s="132"/>
      <c r="D267" s="129"/>
      <c r="E267" s="129"/>
      <c r="F267" s="130"/>
      <c r="G267" s="399"/>
      <c r="H267" s="120"/>
      <c r="I267" s="419"/>
      <c r="J267" s="158"/>
      <c r="K267" s="406"/>
      <c r="L267" s="120">
        <f t="shared" si="44"/>
        <v>0</v>
      </c>
      <c r="M267" s="120">
        <f t="shared" si="48"/>
        <v>0</v>
      </c>
      <c r="N267" s="120"/>
      <c r="O267" s="404">
        <f t="shared" si="49"/>
        <v>0</v>
      </c>
      <c r="P267" s="127">
        <f t="shared" si="45"/>
        <v>0</v>
      </c>
    </row>
    <row r="268" spans="1:16" ht="15.75">
      <c r="A268" s="260"/>
      <c r="B268" s="971" t="s">
        <v>152</v>
      </c>
      <c r="C268" s="132" t="s">
        <v>100</v>
      </c>
      <c r="D268" s="129"/>
      <c r="E268" s="129"/>
      <c r="F268" s="130"/>
      <c r="G268" s="399"/>
      <c r="H268" s="120"/>
      <c r="I268" s="419"/>
      <c r="J268" s="158"/>
      <c r="K268" s="406"/>
      <c r="L268" s="120">
        <f t="shared" si="44"/>
        <v>0</v>
      </c>
      <c r="M268" s="120">
        <f t="shared" si="48"/>
        <v>0</v>
      </c>
      <c r="N268" s="120"/>
      <c r="O268" s="404">
        <f t="shared" si="49"/>
        <v>0</v>
      </c>
      <c r="P268" s="127">
        <f t="shared" si="45"/>
        <v>0</v>
      </c>
    </row>
    <row r="269" spans="1:16" ht="18">
      <c r="A269" s="260"/>
      <c r="B269" s="971"/>
      <c r="C269" s="132" t="s">
        <v>108</v>
      </c>
      <c r="D269" s="129"/>
      <c r="E269" s="129"/>
      <c r="F269" s="130"/>
      <c r="G269" s="399" t="s">
        <v>273</v>
      </c>
      <c r="H269" s="120">
        <v>34.69</v>
      </c>
      <c r="I269" s="419">
        <v>49.15</v>
      </c>
      <c r="J269" s="158">
        <v>89.38</v>
      </c>
      <c r="K269" s="406">
        <v>0</v>
      </c>
      <c r="L269" s="120">
        <f t="shared" si="44"/>
        <v>89.38</v>
      </c>
      <c r="M269" s="120">
        <f t="shared" si="48"/>
        <v>1705.0134999999998</v>
      </c>
      <c r="N269" s="120"/>
      <c r="O269" s="404">
        <f t="shared" si="49"/>
        <v>0</v>
      </c>
      <c r="P269" s="127">
        <f t="shared" si="45"/>
        <v>3100.5921999999996</v>
      </c>
    </row>
    <row r="270" spans="1:16" ht="16.5">
      <c r="A270" s="260"/>
      <c r="B270" s="975"/>
      <c r="C270" s="285" t="s">
        <v>1123</v>
      </c>
      <c r="D270" s="941"/>
      <c r="E270" s="249"/>
      <c r="F270" s="250"/>
      <c r="G270" s="462"/>
      <c r="H270" s="158"/>
      <c r="I270" s="419"/>
      <c r="J270" s="158"/>
      <c r="K270" s="406"/>
      <c r="L270" s="120">
        <f t="shared" si="44"/>
        <v>0</v>
      </c>
      <c r="M270" s="120">
        <f t="shared" si="48"/>
        <v>0</v>
      </c>
      <c r="N270" s="120"/>
      <c r="O270" s="404">
        <f t="shared" si="49"/>
        <v>0</v>
      </c>
      <c r="P270" s="127">
        <f t="shared" si="45"/>
        <v>0</v>
      </c>
    </row>
    <row r="271" spans="1:16" ht="15.75">
      <c r="A271" s="260"/>
      <c r="B271" s="975" t="s">
        <v>855</v>
      </c>
      <c r="C271" s="1367" t="s">
        <v>558</v>
      </c>
      <c r="D271" s="1368"/>
      <c r="E271" s="1368"/>
      <c r="F271" s="1369"/>
      <c r="G271" s="464"/>
      <c r="H271" s="158"/>
      <c r="I271" s="419"/>
      <c r="J271" s="158"/>
      <c r="K271" s="406"/>
      <c r="L271" s="120">
        <f t="shared" si="44"/>
        <v>0</v>
      </c>
      <c r="M271" s="120">
        <f t="shared" si="48"/>
        <v>0</v>
      </c>
      <c r="N271" s="120"/>
      <c r="O271" s="404">
        <f t="shared" si="49"/>
        <v>0</v>
      </c>
      <c r="P271" s="127">
        <f t="shared" si="45"/>
        <v>0</v>
      </c>
    </row>
    <row r="272" spans="1:16" ht="18.75">
      <c r="A272" s="260"/>
      <c r="B272" s="1010"/>
      <c r="C272" s="465" t="s">
        <v>268</v>
      </c>
      <c r="D272" s="941"/>
      <c r="E272" s="249"/>
      <c r="F272" s="250"/>
      <c r="G272" s="463" t="s">
        <v>580</v>
      </c>
      <c r="H272" s="637">
        <v>35.47</v>
      </c>
      <c r="I272" s="419">
        <v>9.36</v>
      </c>
      <c r="J272" s="158">
        <v>8.75</v>
      </c>
      <c r="K272" s="406">
        <v>0</v>
      </c>
      <c r="L272" s="120">
        <f t="shared" si="44"/>
        <v>8.75</v>
      </c>
      <c r="M272" s="120">
        <f t="shared" si="48"/>
        <v>331.99919999999997</v>
      </c>
      <c r="N272" s="120"/>
      <c r="O272" s="404">
        <f t="shared" si="49"/>
        <v>0</v>
      </c>
      <c r="P272" s="127">
        <f t="shared" si="45"/>
        <v>310.36250000000001</v>
      </c>
    </row>
    <row r="273" spans="1:16" ht="15.75">
      <c r="A273" s="260"/>
      <c r="B273" s="975" t="s">
        <v>1124</v>
      </c>
      <c r="C273" s="1367" t="s">
        <v>582</v>
      </c>
      <c r="D273" s="1368"/>
      <c r="E273" s="1368"/>
      <c r="F273" s="1369"/>
      <c r="G273" s="464"/>
      <c r="H273" s="158"/>
      <c r="I273" s="419"/>
      <c r="J273" s="158"/>
      <c r="K273" s="406"/>
      <c r="L273" s="120">
        <f t="shared" si="44"/>
        <v>0</v>
      </c>
      <c r="M273" s="120">
        <f t="shared" si="48"/>
        <v>0</v>
      </c>
      <c r="N273" s="120"/>
      <c r="O273" s="404">
        <f t="shared" si="49"/>
        <v>0</v>
      </c>
      <c r="P273" s="127">
        <f t="shared" si="45"/>
        <v>0</v>
      </c>
    </row>
    <row r="274" spans="1:16" ht="15.75">
      <c r="A274" s="260"/>
      <c r="B274" s="976"/>
      <c r="C274" s="467" t="s">
        <v>723</v>
      </c>
      <c r="D274" s="941"/>
      <c r="E274" s="249"/>
      <c r="F274" s="250"/>
      <c r="G274" s="463" t="s">
        <v>614</v>
      </c>
      <c r="H274" s="158">
        <f>[1]BOQ!$E$431</f>
        <v>1434.18</v>
      </c>
      <c r="I274" s="419">
        <v>2.19</v>
      </c>
      <c r="J274" s="158">
        <v>2.19</v>
      </c>
      <c r="K274" s="406">
        <v>0</v>
      </c>
      <c r="L274" s="120">
        <f t="shared" si="44"/>
        <v>2.19</v>
      </c>
      <c r="M274" s="120">
        <f t="shared" si="48"/>
        <v>3140.8542000000002</v>
      </c>
      <c r="N274" s="120"/>
      <c r="O274" s="404">
        <f t="shared" si="49"/>
        <v>0</v>
      </c>
      <c r="P274" s="127">
        <f t="shared" si="45"/>
        <v>3140.8542000000002</v>
      </c>
    </row>
    <row r="275" spans="1:16" ht="16.5" thickBot="1">
      <c r="A275" s="260"/>
      <c r="B275" s="977"/>
      <c r="C275" s="978" t="s">
        <v>994</v>
      </c>
      <c r="D275" s="979"/>
      <c r="E275" s="980"/>
      <c r="F275" s="981"/>
      <c r="G275" s="982" t="s">
        <v>614</v>
      </c>
      <c r="H275" s="985">
        <f>[1]BOQ!$E$431</f>
        <v>1434.18</v>
      </c>
      <c r="I275" s="1011">
        <v>6.3</v>
      </c>
      <c r="J275" s="985">
        <v>15.35</v>
      </c>
      <c r="K275" s="986">
        <v>0</v>
      </c>
      <c r="L275" s="985">
        <f t="shared" si="44"/>
        <v>15.35</v>
      </c>
      <c r="M275" s="985">
        <f t="shared" si="48"/>
        <v>9035.3340000000007</v>
      </c>
      <c r="N275" s="985"/>
      <c r="O275" s="986">
        <f t="shared" si="49"/>
        <v>0</v>
      </c>
      <c r="P275" s="987">
        <f t="shared" si="45"/>
        <v>22014.663</v>
      </c>
    </row>
    <row r="276" spans="1:16" ht="16.5">
      <c r="A276" s="260"/>
      <c r="B276" s="1021" t="s">
        <v>1125</v>
      </c>
      <c r="C276" s="1373" t="s">
        <v>560</v>
      </c>
      <c r="D276" s="1374"/>
      <c r="E276" s="1374"/>
      <c r="F276" s="1375"/>
      <c r="G276" s="1002"/>
      <c r="H276" s="1003"/>
      <c r="I276" s="1004"/>
      <c r="J276" s="1003"/>
      <c r="K276" s="1005"/>
      <c r="L276" s="967">
        <f t="shared" si="44"/>
        <v>0</v>
      </c>
      <c r="M276" s="967">
        <f t="shared" si="48"/>
        <v>0</v>
      </c>
      <c r="N276" s="967"/>
      <c r="O276" s="969">
        <f t="shared" si="49"/>
        <v>0</v>
      </c>
      <c r="P276" s="990">
        <f t="shared" si="45"/>
        <v>0</v>
      </c>
    </row>
    <row r="277" spans="1:16" ht="18.75">
      <c r="A277" s="260"/>
      <c r="B277" s="1008"/>
      <c r="C277" s="1367" t="s">
        <v>621</v>
      </c>
      <c r="D277" s="1368"/>
      <c r="E277" s="1368"/>
      <c r="F277" s="1369"/>
      <c r="G277" s="469" t="s">
        <v>580</v>
      </c>
      <c r="H277" s="158">
        <v>58.19</v>
      </c>
      <c r="I277" s="419">
        <v>4.34</v>
      </c>
      <c r="J277" s="158">
        <v>11.52</v>
      </c>
      <c r="K277" s="406">
        <v>0</v>
      </c>
      <c r="L277" s="120">
        <f t="shared" si="44"/>
        <v>11.52</v>
      </c>
      <c r="M277" s="120">
        <f t="shared" si="48"/>
        <v>252.54459999999997</v>
      </c>
      <c r="N277" s="120"/>
      <c r="O277" s="404">
        <f t="shared" si="49"/>
        <v>0</v>
      </c>
      <c r="P277" s="991">
        <f t="shared" si="45"/>
        <v>670.34879999999998</v>
      </c>
    </row>
    <row r="278" spans="1:16" ht="18.75">
      <c r="A278" s="260"/>
      <c r="B278" s="1008"/>
      <c r="C278" s="1367" t="s">
        <v>995</v>
      </c>
      <c r="D278" s="1368"/>
      <c r="E278" s="1368"/>
      <c r="F278" s="1369"/>
      <c r="G278" s="469" t="s">
        <v>580</v>
      </c>
      <c r="H278" s="158">
        <f>[1]BOQ!$E$436</f>
        <v>58.19</v>
      </c>
      <c r="I278" s="419">
        <v>54.56</v>
      </c>
      <c r="J278" s="158">
        <v>137.47999999999999</v>
      </c>
      <c r="K278" s="406">
        <v>0</v>
      </c>
      <c r="L278" s="120">
        <f t="shared" si="44"/>
        <v>137.47999999999999</v>
      </c>
      <c r="M278" s="120">
        <f t="shared" si="48"/>
        <v>3174.8463999999999</v>
      </c>
      <c r="N278" s="120"/>
      <c r="O278" s="404">
        <f t="shared" si="49"/>
        <v>0</v>
      </c>
      <c r="P278" s="991">
        <f t="shared" si="45"/>
        <v>7999.9611999999988</v>
      </c>
    </row>
    <row r="279" spans="1:16" ht="16.5">
      <c r="A279" s="260"/>
      <c r="B279" s="1007" t="s">
        <v>1126</v>
      </c>
      <c r="C279" s="1367" t="s">
        <v>626</v>
      </c>
      <c r="D279" s="1368"/>
      <c r="E279" s="1368"/>
      <c r="F279" s="1369"/>
      <c r="G279" s="464"/>
      <c r="H279" s="158"/>
      <c r="I279" s="419"/>
      <c r="J279" s="158"/>
      <c r="K279" s="406"/>
      <c r="L279" s="120">
        <f t="shared" si="44"/>
        <v>0</v>
      </c>
      <c r="M279" s="120">
        <f t="shared" si="48"/>
        <v>0</v>
      </c>
      <c r="N279" s="120"/>
      <c r="O279" s="404">
        <f t="shared" si="49"/>
        <v>0</v>
      </c>
      <c r="P279" s="991">
        <f t="shared" si="45"/>
        <v>0</v>
      </c>
    </row>
    <row r="280" spans="1:16" ht="15.75">
      <c r="A280" s="260"/>
      <c r="B280" s="975"/>
      <c r="C280" s="1367" t="s">
        <v>734</v>
      </c>
      <c r="D280" s="1368"/>
      <c r="E280" s="1368"/>
      <c r="F280" s="1369"/>
      <c r="G280" s="464" t="s">
        <v>589</v>
      </c>
      <c r="H280" s="398">
        <v>2.61</v>
      </c>
      <c r="I280" s="419">
        <v>841.81</v>
      </c>
      <c r="J280" s="158">
        <v>212.25</v>
      </c>
      <c r="K280" s="406"/>
      <c r="L280" s="120">
        <f t="shared" si="44"/>
        <v>212.25</v>
      </c>
      <c r="M280" s="120">
        <f t="shared" si="48"/>
        <v>2197.1240999999995</v>
      </c>
      <c r="N280" s="120"/>
      <c r="O280" s="404">
        <f t="shared" si="49"/>
        <v>0</v>
      </c>
      <c r="P280" s="991">
        <f t="shared" si="45"/>
        <v>553.97249999999997</v>
      </c>
    </row>
    <row r="281" spans="1:16" ht="15.75">
      <c r="A281" s="260"/>
      <c r="B281" s="975"/>
      <c r="C281" s="1367" t="s">
        <v>735</v>
      </c>
      <c r="D281" s="1368"/>
      <c r="E281" s="1368"/>
      <c r="F281" s="1369"/>
      <c r="G281" s="464" t="s">
        <v>589</v>
      </c>
      <c r="H281" s="120">
        <v>2.02</v>
      </c>
      <c r="I281" s="419">
        <v>383.78</v>
      </c>
      <c r="J281" s="158">
        <v>3768.99</v>
      </c>
      <c r="K281" s="406"/>
      <c r="L281" s="120">
        <f t="shared" si="44"/>
        <v>3768.99</v>
      </c>
      <c r="M281" s="120">
        <f t="shared" si="48"/>
        <v>775.23559999999998</v>
      </c>
      <c r="N281" s="120"/>
      <c r="O281" s="404">
        <f t="shared" si="49"/>
        <v>0</v>
      </c>
      <c r="P281" s="991">
        <f t="shared" si="45"/>
        <v>7613.3597999999993</v>
      </c>
    </row>
    <row r="282" spans="1:16" ht="16.5">
      <c r="A282" s="260"/>
      <c r="B282" s="1007" t="s">
        <v>1127</v>
      </c>
      <c r="C282" s="1367" t="s">
        <v>591</v>
      </c>
      <c r="D282" s="1368"/>
      <c r="E282" s="1368"/>
      <c r="F282" s="1369"/>
      <c r="G282" s="469" t="s">
        <v>592</v>
      </c>
      <c r="H282" s="120">
        <v>235</v>
      </c>
      <c r="I282" s="419">
        <v>0</v>
      </c>
      <c r="J282" s="158">
        <v>22</v>
      </c>
      <c r="K282" s="406">
        <v>0</v>
      </c>
      <c r="L282" s="120">
        <f t="shared" si="44"/>
        <v>22</v>
      </c>
      <c r="M282" s="120">
        <f t="shared" si="48"/>
        <v>0</v>
      </c>
      <c r="N282" s="120"/>
      <c r="O282" s="404">
        <f t="shared" si="49"/>
        <v>0</v>
      </c>
      <c r="P282" s="991">
        <f t="shared" si="45"/>
        <v>5170</v>
      </c>
    </row>
    <row r="283" spans="1:16" ht="15.75">
      <c r="A283" s="260"/>
      <c r="B283" s="1009"/>
      <c r="C283" s="156"/>
      <c r="D283" s="159"/>
      <c r="E283" s="159"/>
      <c r="F283" s="143"/>
      <c r="G283" s="157"/>
      <c r="H283" s="158"/>
      <c r="I283" s="419"/>
      <c r="J283" s="158"/>
      <c r="K283" s="406"/>
      <c r="L283" s="120">
        <f t="shared" si="44"/>
        <v>0</v>
      </c>
      <c r="M283" s="120">
        <f t="shared" si="48"/>
        <v>0</v>
      </c>
      <c r="N283" s="120"/>
      <c r="O283" s="404">
        <f t="shared" si="49"/>
        <v>0</v>
      </c>
      <c r="P283" s="991">
        <f t="shared" si="45"/>
        <v>0</v>
      </c>
    </row>
    <row r="284" spans="1:16" ht="15.75">
      <c r="A284" s="260"/>
      <c r="B284" s="1009"/>
      <c r="C284" s="156"/>
      <c r="D284" s="159"/>
      <c r="E284" s="159"/>
      <c r="F284" s="143"/>
      <c r="G284" s="157"/>
      <c r="H284" s="158"/>
      <c r="I284" s="419"/>
      <c r="J284" s="158"/>
      <c r="K284" s="406"/>
      <c r="L284" s="158"/>
      <c r="M284" s="158"/>
      <c r="N284" s="158"/>
      <c r="O284" s="404"/>
      <c r="P284" s="1022"/>
    </row>
    <row r="285" spans="1:16" ht="18">
      <c r="A285" s="260"/>
      <c r="B285" s="971">
        <v>11.4</v>
      </c>
      <c r="C285" s="1262" t="str">
        <f>'Raw water pumping station'!F4</f>
        <v>Raw Water Pumping Station</v>
      </c>
      <c r="D285" s="139"/>
      <c r="E285" s="139"/>
      <c r="F285" s="140"/>
      <c r="G285" s="221"/>
      <c r="H285" s="158"/>
      <c r="I285" s="419"/>
      <c r="J285" s="158"/>
      <c r="K285" s="406"/>
      <c r="L285" s="120">
        <f t="shared" ref="L285:L315" si="50">J285+K285</f>
        <v>0</v>
      </c>
      <c r="M285" s="120">
        <f t="shared" ref="M285:M315" si="51">H285*I285</f>
        <v>0</v>
      </c>
      <c r="N285" s="120"/>
      <c r="O285" s="404">
        <f t="shared" ref="O285:O315" si="52">H285*K285</f>
        <v>0</v>
      </c>
      <c r="P285" s="127">
        <f t="shared" ref="P285:P315" si="53">H285*L285</f>
        <v>0</v>
      </c>
    </row>
    <row r="286" spans="1:16" ht="18">
      <c r="A286" s="260"/>
      <c r="B286" s="971" t="s">
        <v>1375</v>
      </c>
      <c r="C286" s="138" t="s">
        <v>993</v>
      </c>
      <c r="D286" s="133"/>
      <c r="E286" s="133"/>
      <c r="F286" s="141"/>
      <c r="G286" s="221"/>
      <c r="H286" s="158"/>
      <c r="I286" s="419"/>
      <c r="J286" s="158"/>
      <c r="K286" s="406"/>
      <c r="L286" s="120">
        <f t="shared" si="50"/>
        <v>0</v>
      </c>
      <c r="M286" s="120">
        <f t="shared" si="51"/>
        <v>0</v>
      </c>
      <c r="N286" s="120"/>
      <c r="O286" s="404">
        <f t="shared" si="52"/>
        <v>0</v>
      </c>
      <c r="P286" s="127">
        <f t="shared" si="53"/>
        <v>0</v>
      </c>
    </row>
    <row r="287" spans="1:16" ht="15.75">
      <c r="A287" s="260"/>
      <c r="B287" s="971"/>
      <c r="C287" s="128"/>
      <c r="D287" s="133"/>
      <c r="E287" s="133"/>
      <c r="F287" s="130"/>
      <c r="G287" s="399"/>
      <c r="H287" s="158"/>
      <c r="I287" s="419"/>
      <c r="J287" s="158"/>
      <c r="K287" s="406"/>
      <c r="L287" s="120">
        <f t="shared" si="50"/>
        <v>0</v>
      </c>
      <c r="M287" s="120">
        <f t="shared" si="51"/>
        <v>0</v>
      </c>
      <c r="N287" s="120"/>
      <c r="O287" s="404">
        <f t="shared" si="52"/>
        <v>0</v>
      </c>
      <c r="P287" s="127">
        <f t="shared" si="53"/>
        <v>0</v>
      </c>
    </row>
    <row r="288" spans="1:16" ht="15.75">
      <c r="A288" s="260"/>
      <c r="B288" s="971" t="s">
        <v>1376</v>
      </c>
      <c r="C288" s="132" t="s">
        <v>113</v>
      </c>
      <c r="D288" s="129"/>
      <c r="E288" s="129"/>
      <c r="F288" s="130"/>
      <c r="G288" s="399"/>
      <c r="H288" s="158"/>
      <c r="I288" s="419"/>
      <c r="J288" s="158"/>
      <c r="K288" s="406"/>
      <c r="L288" s="120">
        <f t="shared" si="50"/>
        <v>0</v>
      </c>
      <c r="M288" s="120">
        <f t="shared" si="51"/>
        <v>0</v>
      </c>
      <c r="N288" s="120"/>
      <c r="O288" s="404">
        <f t="shared" si="52"/>
        <v>0</v>
      </c>
      <c r="P288" s="127">
        <f t="shared" si="53"/>
        <v>0</v>
      </c>
    </row>
    <row r="289" spans="1:16" ht="18">
      <c r="A289" s="260"/>
      <c r="B289" s="971"/>
      <c r="C289" s="132" t="s">
        <v>114</v>
      </c>
      <c r="D289" s="129"/>
      <c r="E289" s="129"/>
      <c r="F289" s="130"/>
      <c r="G289" s="399" t="s">
        <v>273</v>
      </c>
      <c r="H289" s="120">
        <v>26.17</v>
      </c>
      <c r="I289" s="419">
        <v>20.3</v>
      </c>
      <c r="J289" s="158"/>
      <c r="K289" s="406">
        <f>'Raw water pumping station'!J12</f>
        <v>188.21249999999998</v>
      </c>
      <c r="L289" s="120">
        <f t="shared" si="50"/>
        <v>188.21249999999998</v>
      </c>
      <c r="M289" s="120">
        <f t="shared" si="51"/>
        <v>531.25100000000009</v>
      </c>
      <c r="N289" s="120"/>
      <c r="O289" s="404">
        <f t="shared" si="52"/>
        <v>4925.5211249999993</v>
      </c>
      <c r="P289" s="127">
        <f t="shared" si="53"/>
        <v>4925.5211249999993</v>
      </c>
    </row>
    <row r="290" spans="1:16" ht="15.75">
      <c r="A290" s="260"/>
      <c r="B290" s="971"/>
      <c r="C290" s="132"/>
      <c r="D290" s="129"/>
      <c r="E290" s="129"/>
      <c r="F290" s="130"/>
      <c r="G290" s="399"/>
      <c r="H290" s="120"/>
      <c r="I290" s="419"/>
      <c r="J290" s="158"/>
      <c r="K290" s="406"/>
      <c r="L290" s="120">
        <f t="shared" si="50"/>
        <v>0</v>
      </c>
      <c r="M290" s="120">
        <f t="shared" si="51"/>
        <v>0</v>
      </c>
      <c r="N290" s="120"/>
      <c r="O290" s="404">
        <f t="shared" si="52"/>
        <v>0</v>
      </c>
      <c r="P290" s="127">
        <f t="shared" si="53"/>
        <v>0</v>
      </c>
    </row>
    <row r="291" spans="1:16" ht="15.75">
      <c r="A291" s="260"/>
      <c r="B291" s="971" t="s">
        <v>1122</v>
      </c>
      <c r="C291" s="132" t="s">
        <v>94</v>
      </c>
      <c r="D291" s="129"/>
      <c r="E291" s="129"/>
      <c r="F291" s="130"/>
      <c r="G291" s="399"/>
      <c r="H291" s="120"/>
      <c r="I291" s="419"/>
      <c r="J291" s="158"/>
      <c r="K291" s="406"/>
      <c r="L291" s="120">
        <f t="shared" si="50"/>
        <v>0</v>
      </c>
      <c r="M291" s="120">
        <f t="shared" si="51"/>
        <v>0</v>
      </c>
      <c r="N291" s="120"/>
      <c r="O291" s="404">
        <f t="shared" si="52"/>
        <v>0</v>
      </c>
      <c r="P291" s="127">
        <f t="shared" si="53"/>
        <v>0</v>
      </c>
    </row>
    <row r="292" spans="1:16" ht="18">
      <c r="A292" s="260"/>
      <c r="B292" s="971"/>
      <c r="C292" s="132" t="s">
        <v>95</v>
      </c>
      <c r="D292" s="129"/>
      <c r="E292" s="129"/>
      <c r="F292" s="130"/>
      <c r="G292" s="399" t="s">
        <v>273</v>
      </c>
      <c r="H292" s="120">
        <v>48.12</v>
      </c>
      <c r="I292" s="419">
        <v>20.3</v>
      </c>
      <c r="J292" s="158"/>
      <c r="K292" s="406">
        <f>'Raw water pumping station'!J17</f>
        <v>188.21249999999998</v>
      </c>
      <c r="L292" s="120">
        <f t="shared" si="50"/>
        <v>188.21249999999998</v>
      </c>
      <c r="M292" s="120">
        <f t="shared" si="51"/>
        <v>976.83600000000001</v>
      </c>
      <c r="N292" s="120"/>
      <c r="O292" s="404">
        <f t="shared" si="52"/>
        <v>9056.7854999999981</v>
      </c>
      <c r="P292" s="127">
        <f t="shared" si="53"/>
        <v>9056.7854999999981</v>
      </c>
    </row>
    <row r="293" spans="1:16" ht="15.75">
      <c r="A293" s="260"/>
      <c r="B293" s="971"/>
      <c r="C293" s="132"/>
      <c r="D293" s="129"/>
      <c r="E293" s="129"/>
      <c r="F293" s="130"/>
      <c r="G293" s="399"/>
      <c r="H293" s="120"/>
      <c r="I293" s="419"/>
      <c r="J293" s="158"/>
      <c r="K293" s="406"/>
      <c r="L293" s="120">
        <f t="shared" si="50"/>
        <v>0</v>
      </c>
      <c r="M293" s="120">
        <f t="shared" si="51"/>
        <v>0</v>
      </c>
      <c r="N293" s="120"/>
      <c r="O293" s="404">
        <f t="shared" si="52"/>
        <v>0</v>
      </c>
      <c r="P293" s="127">
        <f t="shared" si="53"/>
        <v>0</v>
      </c>
    </row>
    <row r="294" spans="1:16" ht="15.75">
      <c r="A294" s="260"/>
      <c r="B294" s="971" t="s">
        <v>150</v>
      </c>
      <c r="C294" s="132" t="s">
        <v>105</v>
      </c>
      <c r="D294" s="129"/>
      <c r="E294" s="129"/>
      <c r="F294" s="130"/>
      <c r="G294" s="399"/>
      <c r="H294" s="120"/>
      <c r="I294" s="419"/>
      <c r="J294" s="158"/>
      <c r="K294" s="406"/>
      <c r="L294" s="120">
        <f t="shared" si="50"/>
        <v>0</v>
      </c>
      <c r="M294" s="120">
        <f t="shared" si="51"/>
        <v>0</v>
      </c>
      <c r="N294" s="120"/>
      <c r="O294" s="404">
        <f t="shared" si="52"/>
        <v>0</v>
      </c>
      <c r="P294" s="127">
        <f t="shared" si="53"/>
        <v>0</v>
      </c>
    </row>
    <row r="295" spans="1:16" ht="18">
      <c r="A295" s="260"/>
      <c r="B295" s="971"/>
      <c r="C295" s="132" t="s">
        <v>106</v>
      </c>
      <c r="D295" s="129"/>
      <c r="E295" s="129"/>
      <c r="F295" s="130"/>
      <c r="G295" s="399" t="s">
        <v>273</v>
      </c>
      <c r="H295" s="120">
        <v>48.12</v>
      </c>
      <c r="I295" s="419">
        <v>6.01</v>
      </c>
      <c r="J295" s="158"/>
      <c r="K295" s="406">
        <f>'Raw water pumping station'!J22</f>
        <v>376.42499999999995</v>
      </c>
      <c r="L295" s="120">
        <f t="shared" si="50"/>
        <v>376.42499999999995</v>
      </c>
      <c r="M295" s="120">
        <f t="shared" si="51"/>
        <v>289.20119999999997</v>
      </c>
      <c r="N295" s="120"/>
      <c r="O295" s="404">
        <f t="shared" si="52"/>
        <v>18113.570999999996</v>
      </c>
      <c r="P295" s="127">
        <f t="shared" si="53"/>
        <v>18113.570999999996</v>
      </c>
    </row>
    <row r="296" spans="1:16" ht="15.75">
      <c r="A296" s="260"/>
      <c r="B296" s="971"/>
      <c r="C296" s="132"/>
      <c r="D296" s="129"/>
      <c r="E296" s="129"/>
      <c r="F296" s="130"/>
      <c r="G296" s="399"/>
      <c r="H296" s="120"/>
      <c r="I296" s="419"/>
      <c r="J296" s="158"/>
      <c r="K296" s="406"/>
      <c r="L296" s="120">
        <f t="shared" si="50"/>
        <v>0</v>
      </c>
      <c r="M296" s="120">
        <f t="shared" si="51"/>
        <v>0</v>
      </c>
      <c r="N296" s="120"/>
      <c r="O296" s="404">
        <f t="shared" si="52"/>
        <v>0</v>
      </c>
      <c r="P296" s="127">
        <f t="shared" si="53"/>
        <v>0</v>
      </c>
    </row>
    <row r="297" spans="1:16" ht="15.75">
      <c r="A297" s="260"/>
      <c r="B297" s="971" t="s">
        <v>151</v>
      </c>
      <c r="C297" s="132" t="s">
        <v>996</v>
      </c>
      <c r="D297" s="129"/>
      <c r="E297" s="129"/>
      <c r="F297" s="130"/>
      <c r="G297" s="399"/>
      <c r="H297" s="120"/>
      <c r="I297" s="419"/>
      <c r="J297" s="158"/>
      <c r="K297" s="406"/>
      <c r="L297" s="120">
        <f t="shared" si="50"/>
        <v>0</v>
      </c>
      <c r="M297" s="120">
        <f t="shared" si="51"/>
        <v>0</v>
      </c>
      <c r="N297" s="120"/>
      <c r="O297" s="404">
        <f t="shared" si="52"/>
        <v>0</v>
      </c>
      <c r="P297" s="127">
        <f t="shared" si="53"/>
        <v>0</v>
      </c>
    </row>
    <row r="298" spans="1:16" ht="18">
      <c r="A298" s="260"/>
      <c r="B298" s="971"/>
      <c r="C298" s="132" t="s">
        <v>107</v>
      </c>
      <c r="D298" s="129"/>
      <c r="E298" s="129"/>
      <c r="F298" s="130"/>
      <c r="G298" s="399" t="s">
        <v>273</v>
      </c>
      <c r="H298" s="120">
        <v>25.01</v>
      </c>
      <c r="I298" s="419">
        <v>34.11</v>
      </c>
      <c r="J298" s="158"/>
      <c r="K298" s="406">
        <v>0</v>
      </c>
      <c r="L298" s="120">
        <f t="shared" si="50"/>
        <v>0</v>
      </c>
      <c r="M298" s="120">
        <f t="shared" si="51"/>
        <v>853.09109999999998</v>
      </c>
      <c r="N298" s="120"/>
      <c r="O298" s="404">
        <f t="shared" si="52"/>
        <v>0</v>
      </c>
      <c r="P298" s="127">
        <f t="shared" si="53"/>
        <v>0</v>
      </c>
    </row>
    <row r="299" spans="1:16" ht="15.75">
      <c r="A299" s="260"/>
      <c r="B299" s="971"/>
      <c r="C299" s="132"/>
      <c r="D299" s="129"/>
      <c r="E299" s="129"/>
      <c r="F299" s="130"/>
      <c r="G299" s="399"/>
      <c r="H299" s="120"/>
      <c r="I299" s="419"/>
      <c r="J299" s="158"/>
      <c r="K299" s="406"/>
      <c r="L299" s="120">
        <f t="shared" si="50"/>
        <v>0</v>
      </c>
      <c r="M299" s="120">
        <f t="shared" si="51"/>
        <v>0</v>
      </c>
      <c r="N299" s="120"/>
      <c r="O299" s="404">
        <f t="shared" si="52"/>
        <v>0</v>
      </c>
      <c r="P299" s="127">
        <f t="shared" si="53"/>
        <v>0</v>
      </c>
    </row>
    <row r="300" spans="1:16" ht="15.75">
      <c r="A300" s="260"/>
      <c r="B300" s="971" t="s">
        <v>152</v>
      </c>
      <c r="C300" s="132" t="s">
        <v>100</v>
      </c>
      <c r="D300" s="129"/>
      <c r="E300" s="129"/>
      <c r="F300" s="130"/>
      <c r="G300" s="399"/>
      <c r="H300" s="120"/>
      <c r="I300" s="419"/>
      <c r="J300" s="158"/>
      <c r="K300" s="406"/>
      <c r="L300" s="120">
        <f t="shared" si="50"/>
        <v>0</v>
      </c>
      <c r="M300" s="120">
        <f t="shared" si="51"/>
        <v>0</v>
      </c>
      <c r="N300" s="120"/>
      <c r="O300" s="404">
        <f t="shared" si="52"/>
        <v>0</v>
      </c>
      <c r="P300" s="127">
        <f t="shared" si="53"/>
        <v>0</v>
      </c>
    </row>
    <row r="301" spans="1:16" ht="18">
      <c r="A301" s="260"/>
      <c r="B301" s="971"/>
      <c r="C301" s="132" t="s">
        <v>108</v>
      </c>
      <c r="D301" s="129"/>
      <c r="E301" s="129"/>
      <c r="F301" s="130"/>
      <c r="G301" s="399" t="s">
        <v>273</v>
      </c>
      <c r="H301" s="120">
        <v>34.69</v>
      </c>
      <c r="I301" s="419">
        <v>57.57</v>
      </c>
      <c r="J301" s="158"/>
      <c r="K301" s="406">
        <f>'Raw water pumping station'!J26</f>
        <v>752.84999999999991</v>
      </c>
      <c r="L301" s="120">
        <f t="shared" si="50"/>
        <v>752.84999999999991</v>
      </c>
      <c r="M301" s="120">
        <f t="shared" si="51"/>
        <v>1997.1033</v>
      </c>
      <c r="N301" s="120"/>
      <c r="O301" s="404">
        <f t="shared" si="52"/>
        <v>26116.366499999996</v>
      </c>
      <c r="P301" s="127">
        <f t="shared" si="53"/>
        <v>26116.366499999996</v>
      </c>
    </row>
    <row r="302" spans="1:16" ht="16.5">
      <c r="A302" s="260"/>
      <c r="B302" s="975"/>
      <c r="C302" s="285" t="s">
        <v>1123</v>
      </c>
      <c r="D302" s="941"/>
      <c r="E302" s="249"/>
      <c r="F302" s="250"/>
      <c r="G302" s="462"/>
      <c r="H302" s="158"/>
      <c r="I302" s="419"/>
      <c r="J302" s="158"/>
      <c r="K302" s="406"/>
      <c r="L302" s="120">
        <f t="shared" si="50"/>
        <v>0</v>
      </c>
      <c r="M302" s="120">
        <f t="shared" si="51"/>
        <v>0</v>
      </c>
      <c r="N302" s="120"/>
      <c r="O302" s="404">
        <f t="shared" si="52"/>
        <v>0</v>
      </c>
      <c r="P302" s="127">
        <f t="shared" si="53"/>
        <v>0</v>
      </c>
    </row>
    <row r="303" spans="1:16" ht="15.75">
      <c r="A303" s="260"/>
      <c r="B303" s="975" t="s">
        <v>855</v>
      </c>
      <c r="C303" s="1367" t="s">
        <v>558</v>
      </c>
      <c r="D303" s="1368"/>
      <c r="E303" s="1368"/>
      <c r="F303" s="1369"/>
      <c r="G303" s="464"/>
      <c r="H303" s="158"/>
      <c r="I303" s="419"/>
      <c r="J303" s="158"/>
      <c r="K303" s="406"/>
      <c r="L303" s="120">
        <f t="shared" si="50"/>
        <v>0</v>
      </c>
      <c r="M303" s="120">
        <f t="shared" si="51"/>
        <v>0</v>
      </c>
      <c r="N303" s="120"/>
      <c r="O303" s="404">
        <f t="shared" si="52"/>
        <v>0</v>
      </c>
      <c r="P303" s="127">
        <f t="shared" si="53"/>
        <v>0</v>
      </c>
    </row>
    <row r="304" spans="1:16" ht="18.75">
      <c r="A304" s="260"/>
      <c r="B304" s="1010"/>
      <c r="C304" s="465" t="s">
        <v>268</v>
      </c>
      <c r="D304" s="941"/>
      <c r="E304" s="249"/>
      <c r="F304" s="250"/>
      <c r="G304" s="463" t="s">
        <v>580</v>
      </c>
      <c r="H304" s="637">
        <v>35.47</v>
      </c>
      <c r="I304" s="419">
        <v>9.8800000000000008</v>
      </c>
      <c r="J304" s="158"/>
      <c r="K304" s="406">
        <f>'Raw water pumping station'!J31</f>
        <v>10.53</v>
      </c>
      <c r="L304" s="120">
        <f t="shared" si="50"/>
        <v>10.53</v>
      </c>
      <c r="M304" s="120">
        <f t="shared" si="51"/>
        <v>350.4436</v>
      </c>
      <c r="N304" s="120"/>
      <c r="O304" s="404">
        <f t="shared" si="52"/>
        <v>373.49909999999994</v>
      </c>
      <c r="P304" s="127">
        <f t="shared" si="53"/>
        <v>373.49909999999994</v>
      </c>
    </row>
    <row r="305" spans="1:16" ht="15.75">
      <c r="A305" s="260"/>
      <c r="B305" s="975" t="s">
        <v>1124</v>
      </c>
      <c r="C305" s="1367" t="s">
        <v>582</v>
      </c>
      <c r="D305" s="1368"/>
      <c r="E305" s="1368"/>
      <c r="F305" s="1369"/>
      <c r="G305" s="464"/>
      <c r="H305" s="158"/>
      <c r="I305" s="419"/>
      <c r="J305" s="158"/>
      <c r="K305" s="406"/>
      <c r="L305" s="120">
        <f t="shared" si="50"/>
        <v>0</v>
      </c>
      <c r="M305" s="120">
        <f t="shared" si="51"/>
        <v>0</v>
      </c>
      <c r="N305" s="120"/>
      <c r="O305" s="404">
        <f t="shared" si="52"/>
        <v>0</v>
      </c>
      <c r="P305" s="127">
        <f t="shared" si="53"/>
        <v>0</v>
      </c>
    </row>
    <row r="306" spans="1:16" ht="15.75">
      <c r="A306" s="260"/>
      <c r="B306" s="976"/>
      <c r="C306" s="467" t="s">
        <v>723</v>
      </c>
      <c r="D306" s="941"/>
      <c r="E306" s="249"/>
      <c r="F306" s="250"/>
      <c r="G306" s="463" t="s">
        <v>614</v>
      </c>
      <c r="H306" s="158">
        <f>[1]BOQ!$E$431</f>
        <v>1434.18</v>
      </c>
      <c r="I306" s="419">
        <v>2.4700000000000002</v>
      </c>
      <c r="J306" s="158"/>
      <c r="K306" s="406">
        <f>'Raw water pumping station'!J35</f>
        <v>2.46875</v>
      </c>
      <c r="L306" s="120">
        <f t="shared" si="50"/>
        <v>2.46875</v>
      </c>
      <c r="M306" s="120">
        <f t="shared" si="51"/>
        <v>3542.4246000000003</v>
      </c>
      <c r="N306" s="120"/>
      <c r="O306" s="404">
        <f t="shared" si="52"/>
        <v>3540.631875</v>
      </c>
      <c r="P306" s="127">
        <f t="shared" si="53"/>
        <v>3540.631875</v>
      </c>
    </row>
    <row r="307" spans="1:16" ht="16.5" thickBot="1">
      <c r="A307" s="260"/>
      <c r="B307" s="977"/>
      <c r="C307" s="978" t="s">
        <v>994</v>
      </c>
      <c r="D307" s="979"/>
      <c r="E307" s="980"/>
      <c r="F307" s="981"/>
      <c r="G307" s="982" t="s">
        <v>614</v>
      </c>
      <c r="H307" s="985">
        <f>[1]BOQ!$E$431</f>
        <v>1434.18</v>
      </c>
      <c r="I307" s="1011">
        <v>8.36</v>
      </c>
      <c r="J307" s="985"/>
      <c r="K307" s="986">
        <f>'Raw water pumping station'!J44</f>
        <v>13.501250000000001</v>
      </c>
      <c r="L307" s="985">
        <f t="shared" si="50"/>
        <v>13.501250000000001</v>
      </c>
      <c r="M307" s="985">
        <f t="shared" si="51"/>
        <v>11989.7448</v>
      </c>
      <c r="N307" s="985"/>
      <c r="O307" s="986">
        <f t="shared" si="52"/>
        <v>19363.222725000003</v>
      </c>
      <c r="P307" s="987">
        <f t="shared" si="53"/>
        <v>19363.222725000003</v>
      </c>
    </row>
    <row r="308" spans="1:16" ht="16.5">
      <c r="A308" s="260"/>
      <c r="B308" s="1021" t="s">
        <v>1125</v>
      </c>
      <c r="C308" s="1373" t="s">
        <v>560</v>
      </c>
      <c r="D308" s="1374"/>
      <c r="E308" s="1374"/>
      <c r="F308" s="1375"/>
      <c r="G308" s="1002"/>
      <c r="H308" s="1003"/>
      <c r="I308" s="1004"/>
      <c r="J308" s="1003"/>
      <c r="K308" s="1005"/>
      <c r="L308" s="967">
        <f t="shared" si="50"/>
        <v>0</v>
      </c>
      <c r="M308" s="967">
        <f t="shared" si="51"/>
        <v>0</v>
      </c>
      <c r="N308" s="967"/>
      <c r="O308" s="969">
        <f t="shared" si="52"/>
        <v>0</v>
      </c>
      <c r="P308" s="990">
        <f t="shared" si="53"/>
        <v>0</v>
      </c>
    </row>
    <row r="309" spans="1:16" ht="18.75">
      <c r="A309" s="260"/>
      <c r="B309" s="1008"/>
      <c r="C309" s="1367" t="s">
        <v>621</v>
      </c>
      <c r="D309" s="1368"/>
      <c r="E309" s="1368"/>
      <c r="F309" s="1369"/>
      <c r="G309" s="469" t="s">
        <v>580</v>
      </c>
      <c r="H309" s="158">
        <v>58.23</v>
      </c>
      <c r="I309" s="419">
        <v>3.23</v>
      </c>
      <c r="J309" s="158"/>
      <c r="K309" s="406">
        <f>'Raw water pumping station'!J48</f>
        <v>3.2250000000000001</v>
      </c>
      <c r="L309" s="120">
        <f t="shared" si="50"/>
        <v>3.2250000000000001</v>
      </c>
      <c r="M309" s="120">
        <f t="shared" si="51"/>
        <v>188.0829</v>
      </c>
      <c r="N309" s="120"/>
      <c r="O309" s="404">
        <f t="shared" si="52"/>
        <v>187.79175000000001</v>
      </c>
      <c r="P309" s="991">
        <f t="shared" si="53"/>
        <v>187.79175000000001</v>
      </c>
    </row>
    <row r="310" spans="1:16" ht="18.75">
      <c r="A310" s="260"/>
      <c r="B310" s="1008"/>
      <c r="C310" s="1367" t="s">
        <v>995</v>
      </c>
      <c r="D310" s="1368"/>
      <c r="E310" s="1368"/>
      <c r="F310" s="1369"/>
      <c r="G310" s="469" t="s">
        <v>580</v>
      </c>
      <c r="H310" s="158">
        <v>58.23</v>
      </c>
      <c r="I310" s="419">
        <v>66.91</v>
      </c>
      <c r="J310" s="158"/>
      <c r="K310" s="406">
        <f>'Raw water pumping station'!J55</f>
        <v>108.01</v>
      </c>
      <c r="L310" s="120">
        <f t="shared" si="50"/>
        <v>108.01</v>
      </c>
      <c r="M310" s="120">
        <f t="shared" si="51"/>
        <v>3896.1692999999996</v>
      </c>
      <c r="N310" s="120"/>
      <c r="O310" s="404">
        <f t="shared" si="52"/>
        <v>6289.4223000000002</v>
      </c>
      <c r="P310" s="991">
        <f t="shared" si="53"/>
        <v>6289.4223000000002</v>
      </c>
    </row>
    <row r="311" spans="1:16" ht="16.5">
      <c r="A311" s="260"/>
      <c r="B311" s="1007" t="s">
        <v>1126</v>
      </c>
      <c r="C311" s="1367" t="s">
        <v>626</v>
      </c>
      <c r="D311" s="1368"/>
      <c r="E311" s="1368"/>
      <c r="F311" s="1369"/>
      <c r="G311" s="464"/>
      <c r="H311" s="158"/>
      <c r="I311" s="419"/>
      <c r="J311" s="158"/>
      <c r="K311" s="406"/>
      <c r="L311" s="120">
        <f t="shared" si="50"/>
        <v>0</v>
      </c>
      <c r="M311" s="120">
        <f t="shared" si="51"/>
        <v>0</v>
      </c>
      <c r="N311" s="120"/>
      <c r="O311" s="404">
        <f t="shared" si="52"/>
        <v>0</v>
      </c>
      <c r="P311" s="991">
        <f t="shared" si="53"/>
        <v>0</v>
      </c>
    </row>
    <row r="312" spans="1:16" ht="15.75">
      <c r="A312" s="260"/>
      <c r="B312" s="975"/>
      <c r="C312" s="1367" t="s">
        <v>734</v>
      </c>
      <c r="D312" s="1368"/>
      <c r="E312" s="1368"/>
      <c r="F312" s="1369"/>
      <c r="G312" s="464" t="s">
        <v>589</v>
      </c>
      <c r="H312" s="398">
        <v>2.61</v>
      </c>
      <c r="I312" s="419">
        <v>540.22</v>
      </c>
      <c r="J312" s="158"/>
      <c r="K312" s="406">
        <f>'Raw water pumping station'!J57</f>
        <v>819.02</v>
      </c>
      <c r="L312" s="120">
        <f t="shared" si="50"/>
        <v>819.02</v>
      </c>
      <c r="M312" s="120">
        <f t="shared" si="51"/>
        <v>1409.9742000000001</v>
      </c>
      <c r="N312" s="120"/>
      <c r="O312" s="404">
        <f t="shared" si="52"/>
        <v>2137.6421999999998</v>
      </c>
      <c r="P312" s="991">
        <f t="shared" si="53"/>
        <v>2137.6421999999998</v>
      </c>
    </row>
    <row r="313" spans="1:16" ht="15.75">
      <c r="A313" s="260"/>
      <c r="B313" s="975"/>
      <c r="C313" s="1367" t="s">
        <v>735</v>
      </c>
      <c r="D313" s="1368"/>
      <c r="E313" s="1368"/>
      <c r="F313" s="1369"/>
      <c r="G313" s="464" t="s">
        <v>589</v>
      </c>
      <c r="H313" s="120">
        <v>2.02</v>
      </c>
      <c r="I313" s="419">
        <v>562.91999999999996</v>
      </c>
      <c r="J313" s="158"/>
      <c r="K313" s="406">
        <f>'Raw water pumping station'!J58</f>
        <v>698.38300000000004</v>
      </c>
      <c r="L313" s="120">
        <f t="shared" si="50"/>
        <v>698.38300000000004</v>
      </c>
      <c r="M313" s="120">
        <f t="shared" si="51"/>
        <v>1137.0983999999999</v>
      </c>
      <c r="N313" s="120"/>
      <c r="O313" s="404">
        <f t="shared" si="52"/>
        <v>1410.7336600000001</v>
      </c>
      <c r="P313" s="991">
        <f t="shared" si="53"/>
        <v>1410.7336600000001</v>
      </c>
    </row>
    <row r="314" spans="1:16" ht="16.5">
      <c r="A314" s="260"/>
      <c r="B314" s="1007" t="s">
        <v>1127</v>
      </c>
      <c r="C314" s="1367" t="s">
        <v>591</v>
      </c>
      <c r="D314" s="1368"/>
      <c r="E314" s="1368"/>
      <c r="F314" s="1369"/>
      <c r="G314" s="469" t="s">
        <v>592</v>
      </c>
      <c r="H314" s="120">
        <v>235</v>
      </c>
      <c r="I314" s="419">
        <v>0</v>
      </c>
      <c r="J314" s="158"/>
      <c r="K314" s="406">
        <f>'Raw water pumping station'!J60</f>
        <v>15</v>
      </c>
      <c r="L314" s="120">
        <f t="shared" si="50"/>
        <v>15</v>
      </c>
      <c r="M314" s="120">
        <f t="shared" si="51"/>
        <v>0</v>
      </c>
      <c r="N314" s="120"/>
      <c r="O314" s="404">
        <f t="shared" si="52"/>
        <v>3525</v>
      </c>
      <c r="P314" s="991">
        <f t="shared" si="53"/>
        <v>3525</v>
      </c>
    </row>
    <row r="315" spans="1:16" ht="15.75">
      <c r="A315" s="260"/>
      <c r="B315" s="1009"/>
      <c r="C315" s="156"/>
      <c r="D315" s="159"/>
      <c r="E315" s="159"/>
      <c r="F315" s="143"/>
      <c r="G315" s="157"/>
      <c r="H315" s="158"/>
      <c r="I315" s="419"/>
      <c r="J315" s="158"/>
      <c r="K315" s="406"/>
      <c r="L315" s="120">
        <f t="shared" si="50"/>
        <v>0</v>
      </c>
      <c r="M315" s="120">
        <f t="shared" si="51"/>
        <v>0</v>
      </c>
      <c r="N315" s="120"/>
      <c r="O315" s="404">
        <f t="shared" si="52"/>
        <v>0</v>
      </c>
      <c r="P315" s="991">
        <f t="shared" si="53"/>
        <v>0</v>
      </c>
    </row>
    <row r="316" spans="1:16" ht="16.5" thickBot="1">
      <c r="A316" s="260"/>
      <c r="B316" s="1009"/>
      <c r="C316" s="156"/>
      <c r="D316" s="159"/>
      <c r="E316" s="159"/>
      <c r="F316" s="143"/>
      <c r="G316" s="157"/>
      <c r="H316" s="158"/>
      <c r="I316" s="419"/>
      <c r="J316" s="158"/>
      <c r="K316" s="406"/>
      <c r="L316" s="158"/>
      <c r="M316" s="158"/>
      <c r="N316" s="158"/>
      <c r="O316" s="404">
        <f t="shared" ref="O316" si="54">H316*L316</f>
        <v>0</v>
      </c>
      <c r="P316" s="1022"/>
    </row>
    <row r="317" spans="1:16" ht="17.25" thickTop="1" thickBot="1">
      <c r="A317" s="260"/>
      <c r="B317" s="972"/>
      <c r="C317" s="277" t="s">
        <v>312</v>
      </c>
      <c r="D317" s="278"/>
      <c r="E317" s="278"/>
      <c r="F317" s="278"/>
      <c r="G317" s="280"/>
      <c r="H317" s="281"/>
      <c r="I317" s="420"/>
      <c r="J317" s="281"/>
      <c r="K317" s="407"/>
      <c r="L317" s="259"/>
      <c r="M317" s="259">
        <f>SUM(M220:M316)</f>
        <v>78300.987500000003</v>
      </c>
      <c r="N317" s="259">
        <f>SUM(N220:N316)</f>
        <v>35806.8145</v>
      </c>
      <c r="O317" s="407">
        <f>SUM(O216:O316)</f>
        <v>95040.187735</v>
      </c>
      <c r="P317" s="1023">
        <f>O317+N317</f>
        <v>130847.00223499999</v>
      </c>
    </row>
    <row r="318" spans="1:16" ht="16.5" thickTop="1">
      <c r="A318" s="260"/>
      <c r="B318" s="1024"/>
      <c r="C318" s="225"/>
      <c r="D318" s="213"/>
      <c r="E318" s="213"/>
      <c r="F318" s="275"/>
      <c r="G318" s="264"/>
      <c r="H318" s="246"/>
      <c r="I318" s="416"/>
      <c r="J318" s="246"/>
      <c r="K318" s="403"/>
      <c r="L318" s="246"/>
      <c r="M318" s="256"/>
      <c r="N318" s="246"/>
      <c r="O318" s="635"/>
      <c r="P318" s="1025"/>
    </row>
    <row r="319" spans="1:16" ht="18">
      <c r="A319" s="260"/>
      <c r="B319" s="971"/>
      <c r="C319" s="390" t="s">
        <v>134</v>
      </c>
      <c r="D319" s="391"/>
      <c r="E319" s="391"/>
      <c r="F319" s="392"/>
      <c r="G319" s="399"/>
      <c r="H319" s="120"/>
      <c r="I319" s="417"/>
      <c r="J319" s="120"/>
      <c r="K319" s="404"/>
      <c r="L319" s="120"/>
      <c r="M319" s="120"/>
      <c r="N319" s="120"/>
      <c r="O319" s="404"/>
      <c r="P319" s="995"/>
    </row>
    <row r="320" spans="1:16" ht="18">
      <c r="A320" s="260"/>
      <c r="B320" s="971"/>
      <c r="C320" s="122" t="s">
        <v>86</v>
      </c>
      <c r="D320" s="122"/>
      <c r="E320" s="122"/>
      <c r="F320" s="123"/>
      <c r="G320" s="399"/>
      <c r="H320" s="120"/>
      <c r="I320" s="417"/>
      <c r="J320" s="120"/>
      <c r="K320" s="404"/>
      <c r="L320" s="120"/>
      <c r="M320" s="120"/>
      <c r="N320" s="120"/>
      <c r="O320" s="404"/>
      <c r="P320" s="995"/>
    </row>
    <row r="321" spans="1:16" ht="15.75">
      <c r="A321" s="260"/>
      <c r="B321" s="971"/>
      <c r="C321" s="124"/>
      <c r="D321" s="125"/>
      <c r="E321" s="125"/>
      <c r="F321" s="126"/>
      <c r="G321" s="399"/>
      <c r="H321" s="120"/>
      <c r="I321" s="417"/>
      <c r="J321" s="120"/>
      <c r="K321" s="404"/>
      <c r="L321" s="120"/>
      <c r="M321" s="120"/>
      <c r="N321" s="120"/>
      <c r="O321" s="404"/>
      <c r="P321" s="995"/>
    </row>
    <row r="322" spans="1:16" ht="15.75">
      <c r="A322" s="260"/>
      <c r="B322" s="971" t="s">
        <v>290</v>
      </c>
      <c r="C322" s="125" t="s">
        <v>87</v>
      </c>
      <c r="D322" s="125"/>
      <c r="E322" s="125"/>
      <c r="F322" s="126"/>
      <c r="G322" s="399" t="s">
        <v>88</v>
      </c>
      <c r="H322" s="120">
        <v>11363.68</v>
      </c>
      <c r="I322" s="417">
        <v>0.97</v>
      </c>
      <c r="J322" s="120">
        <v>0.93</v>
      </c>
      <c r="K322" s="404"/>
      <c r="L322" s="120">
        <f t="shared" ref="L322:L339" si="55">J322+K322</f>
        <v>0.93</v>
      </c>
      <c r="M322" s="120">
        <f t="shared" ref="M322:M338" si="56">H322*I322</f>
        <v>11022.7696</v>
      </c>
      <c r="N322" s="120">
        <f t="shared" ref="N322:N338" si="57">H322*J322</f>
        <v>10568.222400000001</v>
      </c>
      <c r="O322" s="404">
        <f t="shared" ref="O322:O339" si="58">H322*K322</f>
        <v>0</v>
      </c>
      <c r="P322" s="991">
        <f t="shared" ref="P322:P338" si="59">H322*L322</f>
        <v>10568.222400000001</v>
      </c>
    </row>
    <row r="323" spans="1:16" ht="15.75">
      <c r="A323" s="260"/>
      <c r="B323" s="971" t="s">
        <v>291</v>
      </c>
      <c r="C323" s="125" t="s">
        <v>294</v>
      </c>
      <c r="D323" s="125"/>
      <c r="E323" s="125"/>
      <c r="F323" s="126"/>
      <c r="G323" s="399" t="s">
        <v>141</v>
      </c>
      <c r="H323" s="120">
        <v>26.17</v>
      </c>
      <c r="I323" s="417">
        <v>218.03</v>
      </c>
      <c r="J323" s="120">
        <v>1077.3</v>
      </c>
      <c r="K323" s="404"/>
      <c r="L323" s="120">
        <f t="shared" si="55"/>
        <v>1077.3</v>
      </c>
      <c r="M323" s="120">
        <f t="shared" si="56"/>
        <v>5705.8451000000005</v>
      </c>
      <c r="N323" s="120">
        <f t="shared" si="57"/>
        <v>28192.940999999999</v>
      </c>
      <c r="O323" s="404">
        <f t="shared" si="58"/>
        <v>0</v>
      </c>
      <c r="P323" s="991">
        <f t="shared" si="59"/>
        <v>28192.940999999999</v>
      </c>
    </row>
    <row r="324" spans="1:16" ht="15.75">
      <c r="A324" s="260"/>
      <c r="B324" s="971" t="s">
        <v>494</v>
      </c>
      <c r="C324" s="125" t="s">
        <v>493</v>
      </c>
      <c r="D324" s="125"/>
      <c r="E324" s="125"/>
      <c r="F324" s="126"/>
      <c r="G324" s="399" t="s">
        <v>141</v>
      </c>
      <c r="H324" s="120">
        <v>48.12</v>
      </c>
      <c r="I324" s="417">
        <v>0</v>
      </c>
      <c r="J324" s="120">
        <v>1077.3</v>
      </c>
      <c r="K324" s="404"/>
      <c r="L324" s="120">
        <f t="shared" si="55"/>
        <v>1077.3</v>
      </c>
      <c r="M324" s="120">
        <f t="shared" si="56"/>
        <v>0</v>
      </c>
      <c r="N324" s="120">
        <f t="shared" si="57"/>
        <v>51839.675999999992</v>
      </c>
      <c r="O324" s="404">
        <f t="shared" si="58"/>
        <v>0</v>
      </c>
      <c r="P324" s="991">
        <f t="shared" si="59"/>
        <v>51839.675999999992</v>
      </c>
    </row>
    <row r="325" spans="1:16" s="413" customFormat="1" ht="15.75">
      <c r="A325" s="433"/>
      <c r="B325" s="1026" t="s">
        <v>494</v>
      </c>
      <c r="C325" s="434" t="s">
        <v>655</v>
      </c>
      <c r="D325" s="434"/>
      <c r="E325" s="434"/>
      <c r="F325" s="435"/>
      <c r="G325" s="432" t="s">
        <v>141</v>
      </c>
      <c r="H325" s="404">
        <v>72.180000000000007</v>
      </c>
      <c r="I325" s="417"/>
      <c r="J325" s="404"/>
      <c r="K325" s="404"/>
      <c r="L325" s="404">
        <f t="shared" si="55"/>
        <v>0</v>
      </c>
      <c r="M325" s="404">
        <f t="shared" si="56"/>
        <v>0</v>
      </c>
      <c r="N325" s="404">
        <f t="shared" si="57"/>
        <v>0</v>
      </c>
      <c r="O325" s="404">
        <f t="shared" si="58"/>
        <v>0</v>
      </c>
      <c r="P325" s="1027">
        <f t="shared" si="59"/>
        <v>0</v>
      </c>
    </row>
    <row r="326" spans="1:16" s="413" customFormat="1" ht="15.75">
      <c r="A326" s="433"/>
      <c r="B326" s="1026"/>
      <c r="C326" s="434"/>
      <c r="D326" s="434"/>
      <c r="E326" s="434"/>
      <c r="F326" s="435"/>
      <c r="G326" s="432"/>
      <c r="H326" s="404"/>
      <c r="I326" s="417"/>
      <c r="J326" s="404"/>
      <c r="K326" s="404"/>
      <c r="L326" s="120">
        <f t="shared" si="55"/>
        <v>0</v>
      </c>
      <c r="M326" s="120">
        <f t="shared" si="56"/>
        <v>0</v>
      </c>
      <c r="N326" s="120">
        <f t="shared" si="57"/>
        <v>0</v>
      </c>
      <c r="O326" s="404">
        <f t="shared" si="58"/>
        <v>0</v>
      </c>
      <c r="P326" s="991">
        <f t="shared" si="59"/>
        <v>0</v>
      </c>
    </row>
    <row r="327" spans="1:16" s="413" customFormat="1" ht="15.75">
      <c r="A327" s="433"/>
      <c r="B327" s="1026"/>
      <c r="C327" s="538" t="s">
        <v>771</v>
      </c>
      <c r="D327" s="538"/>
      <c r="E327" s="538"/>
      <c r="F327" s="539"/>
      <c r="G327" s="233"/>
      <c r="H327" s="404"/>
      <c r="I327" s="417"/>
      <c r="J327" s="404"/>
      <c r="K327" s="404"/>
      <c r="L327" s="120">
        <f t="shared" si="55"/>
        <v>0</v>
      </c>
      <c r="M327" s="120">
        <f t="shared" si="56"/>
        <v>0</v>
      </c>
      <c r="N327" s="120">
        <f t="shared" si="57"/>
        <v>0</v>
      </c>
      <c r="O327" s="404">
        <f t="shared" si="58"/>
        <v>0</v>
      </c>
      <c r="P327" s="991">
        <f t="shared" si="59"/>
        <v>0</v>
      </c>
    </row>
    <row r="328" spans="1:16" s="610" customFormat="1" ht="15.75">
      <c r="A328" s="603"/>
      <c r="B328" s="1028"/>
      <c r="C328" s="125" t="s">
        <v>796</v>
      </c>
      <c r="D328" s="125"/>
      <c r="E328" s="125"/>
      <c r="F328" s="125"/>
      <c r="G328" s="125"/>
      <c r="H328" s="608"/>
      <c r="I328" s="417"/>
      <c r="J328" s="608"/>
      <c r="K328" s="404"/>
      <c r="L328" s="608">
        <f t="shared" si="55"/>
        <v>0</v>
      </c>
      <c r="M328" s="608">
        <f t="shared" si="56"/>
        <v>0</v>
      </c>
      <c r="N328" s="608">
        <f t="shared" si="57"/>
        <v>0</v>
      </c>
      <c r="O328" s="404">
        <f t="shared" si="58"/>
        <v>0</v>
      </c>
      <c r="P328" s="1029">
        <f t="shared" si="59"/>
        <v>0</v>
      </c>
    </row>
    <row r="329" spans="1:16" s="413" customFormat="1" ht="15.75">
      <c r="A329" s="433"/>
      <c r="B329" s="1028" t="s">
        <v>773</v>
      </c>
      <c r="C329" s="125" t="s">
        <v>797</v>
      </c>
      <c r="D329" s="125"/>
      <c r="E329" s="125"/>
      <c r="F329" s="125"/>
      <c r="G329" s="125" t="s">
        <v>141</v>
      </c>
      <c r="H329" s="404">
        <v>135.37</v>
      </c>
      <c r="I329" s="417">
        <v>521.54999999999995</v>
      </c>
      <c r="J329" s="404">
        <v>521.98</v>
      </c>
      <c r="K329" s="404"/>
      <c r="L329" s="120">
        <f t="shared" si="55"/>
        <v>521.98</v>
      </c>
      <c r="M329" s="120">
        <f t="shared" si="56"/>
        <v>70602.223499999993</v>
      </c>
      <c r="N329" s="120">
        <f t="shared" si="57"/>
        <v>70660.4326</v>
      </c>
      <c r="O329" s="404">
        <f t="shared" si="58"/>
        <v>0</v>
      </c>
      <c r="P329" s="991">
        <f t="shared" si="59"/>
        <v>70660.4326</v>
      </c>
    </row>
    <row r="330" spans="1:16" s="413" customFormat="1" ht="15.75">
      <c r="A330" s="433"/>
      <c r="B330" s="1030"/>
      <c r="C330" s="1431"/>
      <c r="D330" s="1431"/>
      <c r="E330" s="1431"/>
      <c r="F330" s="1432"/>
      <c r="G330" s="432"/>
      <c r="H330" s="404"/>
      <c r="I330" s="417"/>
      <c r="J330" s="404"/>
      <c r="K330" s="404"/>
      <c r="L330" s="120">
        <f t="shared" si="55"/>
        <v>0</v>
      </c>
      <c r="M330" s="120">
        <f t="shared" si="56"/>
        <v>0</v>
      </c>
      <c r="N330" s="120">
        <f t="shared" si="57"/>
        <v>0</v>
      </c>
      <c r="O330" s="404">
        <f t="shared" si="58"/>
        <v>0</v>
      </c>
      <c r="P330" s="991">
        <f t="shared" si="59"/>
        <v>0</v>
      </c>
    </row>
    <row r="331" spans="1:16" s="413" customFormat="1" ht="15.75">
      <c r="A331" s="433"/>
      <c r="B331" s="1030"/>
      <c r="C331" s="1434"/>
      <c r="D331" s="1435"/>
      <c r="E331" s="1435"/>
      <c r="F331" s="1436"/>
      <c r="G331" s="432"/>
      <c r="H331" s="404"/>
      <c r="I331" s="417"/>
      <c r="J331" s="404"/>
      <c r="K331" s="404"/>
      <c r="L331" s="120">
        <f t="shared" si="55"/>
        <v>0</v>
      </c>
      <c r="M331" s="120">
        <f t="shared" si="56"/>
        <v>0</v>
      </c>
      <c r="N331" s="120">
        <f t="shared" si="57"/>
        <v>0</v>
      </c>
      <c r="O331" s="404">
        <f t="shared" si="58"/>
        <v>0</v>
      </c>
      <c r="P331" s="991">
        <f t="shared" si="59"/>
        <v>0</v>
      </c>
    </row>
    <row r="332" spans="1:16" s="413" customFormat="1" ht="15.75">
      <c r="A332" s="433"/>
      <c r="B332" s="1031" t="s">
        <v>775</v>
      </c>
      <c r="C332" s="125" t="s">
        <v>774</v>
      </c>
      <c r="D332" s="587"/>
      <c r="E332" s="587"/>
      <c r="F332" s="638"/>
      <c r="G332" s="432" t="s">
        <v>141</v>
      </c>
      <c r="H332" s="404">
        <v>168.62</v>
      </c>
      <c r="I332" s="417">
        <v>521.54999999999995</v>
      </c>
      <c r="J332" s="404">
        <v>521.98</v>
      </c>
      <c r="K332" s="404"/>
      <c r="L332" s="120">
        <f t="shared" si="55"/>
        <v>521.98</v>
      </c>
      <c r="M332" s="120">
        <f t="shared" si="56"/>
        <v>87943.760999999999</v>
      </c>
      <c r="N332" s="120">
        <f t="shared" si="57"/>
        <v>88016.267600000006</v>
      </c>
      <c r="O332" s="404">
        <f t="shared" si="58"/>
        <v>0</v>
      </c>
      <c r="P332" s="991">
        <f t="shared" si="59"/>
        <v>88016.267600000006</v>
      </c>
    </row>
    <row r="333" spans="1:16" s="413" customFormat="1" ht="15.75">
      <c r="A333" s="433"/>
      <c r="B333" s="1032"/>
      <c r="C333" s="1434"/>
      <c r="D333" s="1435"/>
      <c r="E333" s="1435"/>
      <c r="F333" s="1436"/>
      <c r="G333" s="432"/>
      <c r="H333" s="404"/>
      <c r="I333" s="417"/>
      <c r="J333" s="404"/>
      <c r="K333" s="404"/>
      <c r="L333" s="120">
        <f t="shared" si="55"/>
        <v>0</v>
      </c>
      <c r="M333" s="120">
        <f t="shared" si="56"/>
        <v>0</v>
      </c>
      <c r="N333" s="120">
        <f t="shared" si="57"/>
        <v>0</v>
      </c>
      <c r="O333" s="404">
        <f t="shared" si="58"/>
        <v>0</v>
      </c>
      <c r="P333" s="991">
        <f t="shared" si="59"/>
        <v>0</v>
      </c>
    </row>
    <row r="334" spans="1:16" s="413" customFormat="1" ht="15.75">
      <c r="A334" s="433"/>
      <c r="B334" s="1032"/>
      <c r="C334" s="1434"/>
      <c r="D334" s="1435"/>
      <c r="E334" s="1435"/>
      <c r="F334" s="1436"/>
      <c r="G334" s="432"/>
      <c r="H334" s="404"/>
      <c r="I334" s="417"/>
      <c r="J334" s="404"/>
      <c r="K334" s="404"/>
      <c r="L334" s="120">
        <f t="shared" si="55"/>
        <v>0</v>
      </c>
      <c r="M334" s="120">
        <f t="shared" si="56"/>
        <v>0</v>
      </c>
      <c r="N334" s="120">
        <f t="shared" si="57"/>
        <v>0</v>
      </c>
      <c r="O334" s="404">
        <f t="shared" si="58"/>
        <v>0</v>
      </c>
      <c r="P334" s="991">
        <f t="shared" si="59"/>
        <v>0</v>
      </c>
    </row>
    <row r="335" spans="1:16" s="413" customFormat="1" ht="15.75">
      <c r="A335" s="433"/>
      <c r="B335" s="1031" t="s">
        <v>776</v>
      </c>
      <c r="C335" s="125" t="s">
        <v>798</v>
      </c>
      <c r="D335" s="125"/>
      <c r="E335" s="125"/>
      <c r="F335" s="125"/>
      <c r="G335" s="432" t="s">
        <v>141</v>
      </c>
      <c r="H335" s="404">
        <v>198.38</v>
      </c>
      <c r="I335" s="417">
        <v>86.93</v>
      </c>
      <c r="J335" s="404">
        <v>87</v>
      </c>
      <c r="K335" s="404"/>
      <c r="L335" s="120">
        <f t="shared" si="55"/>
        <v>87</v>
      </c>
      <c r="M335" s="120">
        <f t="shared" si="56"/>
        <v>17245.1734</v>
      </c>
      <c r="N335" s="120">
        <f t="shared" si="57"/>
        <v>17259.060000000001</v>
      </c>
      <c r="O335" s="404">
        <f t="shared" si="58"/>
        <v>0</v>
      </c>
      <c r="P335" s="991">
        <f t="shared" si="59"/>
        <v>17259.060000000001</v>
      </c>
    </row>
    <row r="336" spans="1:16" s="413" customFormat="1" ht="15.75">
      <c r="A336" s="433"/>
      <c r="B336" s="1031"/>
      <c r="C336" s="1499"/>
      <c r="D336" s="1500"/>
      <c r="E336" s="1500"/>
      <c r="F336" s="1501"/>
      <c r="G336" s="432"/>
      <c r="H336" s="404"/>
      <c r="I336" s="417"/>
      <c r="J336" s="404"/>
      <c r="K336" s="404"/>
      <c r="L336" s="120">
        <f t="shared" si="55"/>
        <v>0</v>
      </c>
      <c r="M336" s="120">
        <f t="shared" si="56"/>
        <v>0</v>
      </c>
      <c r="N336" s="120">
        <f t="shared" si="57"/>
        <v>0</v>
      </c>
      <c r="O336" s="404">
        <f t="shared" si="58"/>
        <v>0</v>
      </c>
      <c r="P336" s="991">
        <f t="shared" si="59"/>
        <v>0</v>
      </c>
    </row>
    <row r="337" spans="1:16" ht="15.75">
      <c r="A337" s="260"/>
      <c r="B337" s="971" t="s">
        <v>292</v>
      </c>
      <c r="C337" s="125" t="s">
        <v>270</v>
      </c>
      <c r="D337" s="125"/>
      <c r="E337" s="125"/>
      <c r="F337" s="126"/>
      <c r="G337" s="399" t="s">
        <v>141</v>
      </c>
      <c r="H337" s="120">
        <v>26.11</v>
      </c>
      <c r="I337" s="417">
        <v>30491.88</v>
      </c>
      <c r="J337" s="120">
        <f>15391.83+12045.72</f>
        <v>27437.55</v>
      </c>
      <c r="K337" s="404">
        <v>0</v>
      </c>
      <c r="L337" s="120">
        <f>J337+K337</f>
        <v>27437.55</v>
      </c>
      <c r="M337" s="120">
        <f>H337*I337</f>
        <v>796142.98679999996</v>
      </c>
      <c r="N337" s="120">
        <f>H337*J337</f>
        <v>716394.43050000002</v>
      </c>
      <c r="O337" s="404">
        <f t="shared" si="58"/>
        <v>0</v>
      </c>
      <c r="P337" s="991">
        <f>H337*L337</f>
        <v>716394.43050000002</v>
      </c>
    </row>
    <row r="338" spans="1:16" ht="15.75">
      <c r="A338" s="260"/>
      <c r="B338" s="971" t="s">
        <v>293</v>
      </c>
      <c r="C338" s="132" t="s">
        <v>227</v>
      </c>
      <c r="D338" s="129"/>
      <c r="E338" s="129"/>
      <c r="F338" s="130"/>
      <c r="G338" s="399" t="s">
        <v>141</v>
      </c>
      <c r="H338" s="120">
        <v>34.69</v>
      </c>
      <c r="I338" s="417">
        <v>27081.37</v>
      </c>
      <c r="J338" s="120">
        <f>21240.98+12045.72</f>
        <v>33286.699999999997</v>
      </c>
      <c r="K338" s="404">
        <v>0</v>
      </c>
      <c r="L338" s="120">
        <f t="shared" si="55"/>
        <v>33286.699999999997</v>
      </c>
      <c r="M338" s="120">
        <f t="shared" si="56"/>
        <v>939452.72529999993</v>
      </c>
      <c r="N338" s="120">
        <f t="shared" si="57"/>
        <v>1154715.6229999999</v>
      </c>
      <c r="O338" s="404">
        <f t="shared" si="58"/>
        <v>0</v>
      </c>
      <c r="P338" s="991">
        <f t="shared" si="59"/>
        <v>1154715.6229999999</v>
      </c>
    </row>
    <row r="339" spans="1:16" s="413" customFormat="1" ht="15.75">
      <c r="A339" s="433"/>
      <c r="B339" s="1026" t="s">
        <v>696</v>
      </c>
      <c r="C339" s="436" t="s">
        <v>697</v>
      </c>
      <c r="D339" s="437"/>
      <c r="E339" s="437"/>
      <c r="F339" s="438"/>
      <c r="G339" s="432" t="s">
        <v>141</v>
      </c>
      <c r="H339" s="404">
        <v>101.87</v>
      </c>
      <c r="I339" s="417"/>
      <c r="J339" s="404">
        <v>4117.68</v>
      </c>
      <c r="K339" s="404"/>
      <c r="L339" s="404">
        <f t="shared" si="55"/>
        <v>4117.68</v>
      </c>
      <c r="M339" s="404"/>
      <c r="N339" s="404">
        <f>H339*J339</f>
        <v>419468.06160000007</v>
      </c>
      <c r="O339" s="404">
        <f t="shared" si="58"/>
        <v>0</v>
      </c>
      <c r="P339" s="1027">
        <f>H339*L339</f>
        <v>419468.06160000007</v>
      </c>
    </row>
    <row r="340" spans="1:16" ht="15.75">
      <c r="A340" s="260"/>
      <c r="B340" s="971"/>
      <c r="C340" s="128" t="s">
        <v>295</v>
      </c>
      <c r="D340" s="129"/>
      <c r="E340" s="129"/>
      <c r="F340" s="130"/>
      <c r="G340" s="399"/>
      <c r="H340" s="120"/>
      <c r="I340" s="417"/>
      <c r="J340" s="120"/>
      <c r="K340" s="404"/>
      <c r="L340" s="120"/>
      <c r="M340" s="120"/>
      <c r="N340" s="120"/>
      <c r="O340" s="404"/>
      <c r="P340" s="991"/>
    </row>
    <row r="341" spans="1:16" ht="15.75">
      <c r="A341" s="260"/>
      <c r="B341" s="971"/>
      <c r="C341" s="132"/>
      <c r="D341" s="129"/>
      <c r="E341" s="129"/>
      <c r="F341" s="130"/>
      <c r="G341" s="399"/>
      <c r="H341" s="120"/>
      <c r="I341" s="417"/>
      <c r="J341" s="120"/>
      <c r="K341" s="404"/>
      <c r="L341" s="120"/>
      <c r="M341" s="120"/>
      <c r="N341" s="120"/>
      <c r="O341" s="404"/>
      <c r="P341" s="991"/>
    </row>
    <row r="342" spans="1:16" ht="15.75">
      <c r="A342" s="260"/>
      <c r="B342" s="971" t="s">
        <v>296</v>
      </c>
      <c r="C342" s="132" t="s">
        <v>297</v>
      </c>
      <c r="D342" s="129"/>
      <c r="E342" s="129"/>
      <c r="F342" s="130"/>
      <c r="G342" s="399"/>
      <c r="H342" s="120"/>
      <c r="I342" s="417"/>
      <c r="J342" s="120"/>
      <c r="K342" s="404"/>
      <c r="L342" s="120"/>
      <c r="M342" s="120"/>
      <c r="N342" s="120"/>
      <c r="O342" s="404"/>
      <c r="P342" s="991"/>
    </row>
    <row r="343" spans="1:16" ht="18">
      <c r="A343" s="260"/>
      <c r="B343" s="971"/>
      <c r="C343" s="132" t="s">
        <v>298</v>
      </c>
      <c r="D343" s="129"/>
      <c r="E343" s="129"/>
      <c r="F343" s="130"/>
      <c r="G343" s="399" t="s">
        <v>275</v>
      </c>
      <c r="H343" s="120">
        <v>26.11</v>
      </c>
      <c r="I343" s="417">
        <v>102.78</v>
      </c>
      <c r="J343" s="120">
        <v>393.3</v>
      </c>
      <c r="K343" s="404"/>
      <c r="L343" s="120">
        <f>J343+K343</f>
        <v>393.3</v>
      </c>
      <c r="M343" s="120">
        <f>H343*I343</f>
        <v>2683.5857999999998</v>
      </c>
      <c r="N343" s="120">
        <f>H343*J343</f>
        <v>10269.063</v>
      </c>
      <c r="O343" s="404">
        <f>H343*K343</f>
        <v>0</v>
      </c>
      <c r="P343" s="991">
        <f>H343*L343</f>
        <v>10269.063</v>
      </c>
    </row>
    <row r="344" spans="1:16" ht="15.75">
      <c r="A344" s="260"/>
      <c r="B344" s="971"/>
      <c r="C344" s="132"/>
      <c r="D344" s="129"/>
      <c r="E344" s="129"/>
      <c r="F344" s="130"/>
      <c r="G344" s="399"/>
      <c r="H344" s="120"/>
      <c r="I344" s="417"/>
      <c r="J344" s="120"/>
      <c r="K344" s="404"/>
      <c r="L344" s="120"/>
      <c r="M344" s="120"/>
      <c r="N344" s="120"/>
      <c r="O344" s="404"/>
      <c r="P344" s="991"/>
    </row>
    <row r="345" spans="1:16" ht="15.75">
      <c r="A345" s="260"/>
      <c r="B345" s="971" t="s">
        <v>299</v>
      </c>
      <c r="C345" s="132" t="s">
        <v>300</v>
      </c>
      <c r="D345" s="129"/>
      <c r="E345" s="129"/>
      <c r="F345" s="130"/>
      <c r="G345" s="399"/>
      <c r="H345" s="120"/>
      <c r="I345" s="417"/>
      <c r="J345" s="120"/>
      <c r="K345" s="404"/>
      <c r="L345" s="120"/>
      <c r="M345" s="120"/>
      <c r="N345" s="120"/>
      <c r="O345" s="404"/>
      <c r="P345" s="991"/>
    </row>
    <row r="346" spans="1:16" ht="18">
      <c r="A346" s="260"/>
      <c r="B346" s="971"/>
      <c r="C346" s="132" t="s">
        <v>301</v>
      </c>
      <c r="D346" s="129"/>
      <c r="E346" s="129"/>
      <c r="F346" s="130"/>
      <c r="G346" s="399" t="s">
        <v>273</v>
      </c>
      <c r="H346" s="120">
        <v>1098.8</v>
      </c>
      <c r="I346" s="417">
        <v>10.28</v>
      </c>
      <c r="J346" s="120">
        <v>56.43</v>
      </c>
      <c r="K346" s="404"/>
      <c r="L346" s="120">
        <f>J346+K346</f>
        <v>56.43</v>
      </c>
      <c r="M346" s="120">
        <f>H346*I346</f>
        <v>11295.663999999999</v>
      </c>
      <c r="N346" s="120">
        <f>H346*J346</f>
        <v>62005.284</v>
      </c>
      <c r="O346" s="404">
        <f>H346*K346</f>
        <v>0</v>
      </c>
      <c r="P346" s="991">
        <f>H346*L346</f>
        <v>62005.284</v>
      </c>
    </row>
    <row r="347" spans="1:16" ht="15.75">
      <c r="A347" s="260"/>
      <c r="B347" s="971"/>
      <c r="C347" s="132"/>
      <c r="D347" s="129"/>
      <c r="E347" s="129"/>
      <c r="F347" s="130"/>
      <c r="G347" s="399"/>
      <c r="H347" s="120"/>
      <c r="I347" s="417"/>
      <c r="J347" s="120"/>
      <c r="K347" s="404"/>
      <c r="L347" s="120"/>
      <c r="M347" s="120"/>
      <c r="N347" s="120"/>
      <c r="O347" s="404"/>
      <c r="P347" s="991"/>
    </row>
    <row r="348" spans="1:16" ht="15.75">
      <c r="A348" s="260"/>
      <c r="B348" s="971" t="s">
        <v>302</v>
      </c>
      <c r="C348" s="132" t="s">
        <v>303</v>
      </c>
      <c r="D348" s="129"/>
      <c r="E348" s="129"/>
      <c r="F348" s="130"/>
      <c r="G348" s="399"/>
      <c r="H348" s="120"/>
      <c r="I348" s="417"/>
      <c r="J348" s="120"/>
      <c r="K348" s="404"/>
      <c r="L348" s="120"/>
      <c r="M348" s="120"/>
      <c r="N348" s="120"/>
      <c r="O348" s="404"/>
      <c r="P348" s="991"/>
    </row>
    <row r="349" spans="1:16" ht="18">
      <c r="A349" s="260"/>
      <c r="B349" s="971"/>
      <c r="C349" s="132" t="s">
        <v>304</v>
      </c>
      <c r="D349" s="129"/>
      <c r="E349" s="129"/>
      <c r="F349" s="130"/>
      <c r="G349" s="399" t="s">
        <v>275</v>
      </c>
      <c r="H349" s="120">
        <v>58.19</v>
      </c>
      <c r="I349" s="417">
        <v>17.25</v>
      </c>
      <c r="J349" s="120">
        <v>51.96</v>
      </c>
      <c r="K349" s="404"/>
      <c r="L349" s="120">
        <f>J349+K349</f>
        <v>51.96</v>
      </c>
      <c r="M349" s="120">
        <f>H349*I349</f>
        <v>1003.7774999999999</v>
      </c>
      <c r="N349" s="120">
        <f>H349*J349</f>
        <v>3023.5524</v>
      </c>
      <c r="O349" s="404">
        <f>H349*K349</f>
        <v>0</v>
      </c>
      <c r="P349" s="991">
        <f>H349*L349</f>
        <v>3023.5524</v>
      </c>
    </row>
    <row r="350" spans="1:16" ht="16.5" thickBot="1">
      <c r="A350" s="260"/>
      <c r="B350" s="1017"/>
      <c r="C350" s="1033"/>
      <c r="D350" s="1034"/>
      <c r="E350" s="1034"/>
      <c r="F350" s="1035"/>
      <c r="G350" s="1018"/>
      <c r="H350" s="985"/>
      <c r="I350" s="1011"/>
      <c r="J350" s="985"/>
      <c r="K350" s="986"/>
      <c r="L350" s="985"/>
      <c r="M350" s="985"/>
      <c r="N350" s="985"/>
      <c r="O350" s="986"/>
      <c r="P350" s="1000"/>
    </row>
    <row r="351" spans="1:16" ht="15.75">
      <c r="A351" s="260"/>
      <c r="B351" s="254" t="s">
        <v>305</v>
      </c>
      <c r="C351" s="261" t="s">
        <v>306</v>
      </c>
      <c r="D351" s="262"/>
      <c r="E351" s="262"/>
      <c r="F351" s="263"/>
      <c r="G351" s="264"/>
      <c r="H351" s="246"/>
      <c r="I351" s="416"/>
      <c r="J351" s="246"/>
      <c r="K351" s="403"/>
      <c r="L351" s="246"/>
      <c r="M351" s="246"/>
      <c r="N351" s="246"/>
      <c r="O351" s="403"/>
      <c r="P351" s="272"/>
    </row>
    <row r="352" spans="1:16" ht="15.75">
      <c r="A352" s="260"/>
      <c r="B352" s="118"/>
      <c r="C352" s="132" t="s">
        <v>307</v>
      </c>
      <c r="D352" s="129"/>
      <c r="E352" s="129"/>
      <c r="F352" s="130"/>
      <c r="G352" s="134" t="s">
        <v>103</v>
      </c>
      <c r="H352" s="120">
        <v>2.56</v>
      </c>
      <c r="I352" s="417">
        <v>477.12</v>
      </c>
      <c r="J352" s="120">
        <v>2433.04</v>
      </c>
      <c r="K352" s="404"/>
      <c r="L352" s="120">
        <f>J352+K352</f>
        <v>2433.04</v>
      </c>
      <c r="M352" s="120">
        <f>H352*I352</f>
        <v>1221.4272000000001</v>
      </c>
      <c r="N352" s="120">
        <f>H352*J352</f>
        <v>6228.5824000000002</v>
      </c>
      <c r="O352" s="404">
        <f>H352*K352</f>
        <v>0</v>
      </c>
      <c r="P352" s="127">
        <f>H352*L352</f>
        <v>6228.5824000000002</v>
      </c>
    </row>
    <row r="353" spans="1:16" ht="15.75">
      <c r="A353" s="260"/>
      <c r="B353" s="118"/>
      <c r="C353" s="132" t="s">
        <v>698</v>
      </c>
      <c r="D353" s="129"/>
      <c r="E353" s="129"/>
      <c r="F353" s="130"/>
      <c r="G353" s="134" t="s">
        <v>103</v>
      </c>
      <c r="H353" s="120">
        <v>2.56</v>
      </c>
      <c r="I353" s="417"/>
      <c r="J353" s="120">
        <v>0</v>
      </c>
      <c r="K353" s="404"/>
      <c r="L353" s="120">
        <f>J353+K353</f>
        <v>0</v>
      </c>
      <c r="M353" s="120">
        <f>H353*I353</f>
        <v>0</v>
      </c>
      <c r="N353" s="120">
        <f>H353*J353</f>
        <v>0</v>
      </c>
      <c r="O353" s="404">
        <f>H353*K353</f>
        <v>0</v>
      </c>
      <c r="P353" s="127">
        <f>H353*L353</f>
        <v>0</v>
      </c>
    </row>
    <row r="354" spans="1:16" ht="15.75">
      <c r="A354" s="260"/>
      <c r="B354" s="118"/>
      <c r="C354" s="128" t="s">
        <v>992</v>
      </c>
      <c r="D354" s="133"/>
      <c r="E354" s="129"/>
      <c r="F354" s="130"/>
      <c r="G354" s="134"/>
      <c r="H354" s="120"/>
      <c r="I354" s="417"/>
      <c r="J354" s="120"/>
      <c r="K354" s="404"/>
      <c r="L354" s="120"/>
      <c r="M354" s="120"/>
      <c r="N354" s="120"/>
      <c r="O354" s="404"/>
      <c r="P354" s="127"/>
    </row>
    <row r="355" spans="1:16" ht="15.75">
      <c r="A355" s="260"/>
      <c r="B355" s="118"/>
      <c r="C355" s="132"/>
      <c r="D355" s="129"/>
      <c r="E355" s="129"/>
      <c r="F355" s="130"/>
      <c r="G355" s="134"/>
      <c r="H355" s="120"/>
      <c r="I355" s="417"/>
      <c r="J355" s="120"/>
      <c r="K355" s="404"/>
      <c r="L355" s="120"/>
      <c r="M355" s="120"/>
      <c r="N355" s="120"/>
      <c r="O355" s="404"/>
      <c r="P355" s="127"/>
    </row>
    <row r="356" spans="1:16" ht="15.75">
      <c r="A356" s="260"/>
      <c r="B356" s="118" t="s">
        <v>901</v>
      </c>
      <c r="C356" s="132" t="s">
        <v>309</v>
      </c>
      <c r="D356" s="129"/>
      <c r="E356" s="129"/>
      <c r="F356" s="130"/>
      <c r="G356" s="134"/>
      <c r="H356" s="120"/>
      <c r="I356" s="417"/>
      <c r="J356" s="120"/>
      <c r="K356" s="404"/>
      <c r="L356" s="120"/>
      <c r="M356" s="120"/>
      <c r="N356" s="120"/>
      <c r="O356" s="404"/>
      <c r="P356" s="127"/>
    </row>
    <row r="357" spans="1:16" ht="15.75">
      <c r="A357" s="260"/>
      <c r="B357" s="118"/>
      <c r="C357" s="132" t="s">
        <v>310</v>
      </c>
      <c r="D357" s="129"/>
      <c r="E357" s="129"/>
      <c r="F357" s="130"/>
      <c r="G357" s="134"/>
      <c r="H357" s="120"/>
      <c r="I357" s="417"/>
      <c r="J357" s="120"/>
      <c r="K357" s="404"/>
      <c r="L357" s="120"/>
      <c r="M357" s="120"/>
      <c r="N357" s="120"/>
      <c r="O357" s="404"/>
      <c r="P357" s="127"/>
    </row>
    <row r="358" spans="1:16" ht="18">
      <c r="A358" s="260"/>
      <c r="B358" s="118"/>
      <c r="C358" s="132" t="s">
        <v>311</v>
      </c>
      <c r="D358" s="129"/>
      <c r="E358" s="129"/>
      <c r="F358" s="130"/>
      <c r="G358" s="134" t="s">
        <v>273</v>
      </c>
      <c r="H358" s="120">
        <v>578.54</v>
      </c>
      <c r="I358" s="417">
        <v>407.03</v>
      </c>
      <c r="J358" s="120">
        <f>1029.42+33.08</f>
        <v>1062.5</v>
      </c>
      <c r="K358" s="404">
        <v>0</v>
      </c>
      <c r="L358" s="120">
        <f>J358+K358</f>
        <v>1062.5</v>
      </c>
      <c r="M358" s="120">
        <f>H358*I358</f>
        <v>235483.13619999998</v>
      </c>
      <c r="N358" s="120">
        <f>H358*J358</f>
        <v>614698.75</v>
      </c>
      <c r="O358" s="404">
        <f>H358*K358</f>
        <v>0</v>
      </c>
      <c r="P358" s="127">
        <f>H358*L358</f>
        <v>614698.75</v>
      </c>
    </row>
    <row r="359" spans="1:16" ht="15.75">
      <c r="A359" s="260"/>
      <c r="B359" s="251" t="s">
        <v>885</v>
      </c>
      <c r="C359" s="156" t="s">
        <v>884</v>
      </c>
      <c r="D359" s="159"/>
      <c r="E359" s="159"/>
      <c r="F359" s="143"/>
      <c r="G359" s="157"/>
      <c r="H359" s="158"/>
      <c r="I359" s="419"/>
      <c r="J359" s="158"/>
      <c r="K359" s="406"/>
      <c r="L359" s="120">
        <f t="shared" ref="L359:L361" si="60">J359+K359</f>
        <v>0</v>
      </c>
      <c r="M359" s="120">
        <f t="shared" ref="M359:M361" si="61">H359*I359</f>
        <v>0</v>
      </c>
      <c r="N359" s="120">
        <f t="shared" ref="N359:N361" si="62">H359*J359</f>
        <v>0</v>
      </c>
      <c r="O359" s="404">
        <f t="shared" ref="O359:O361" si="63">H359*K359</f>
        <v>0</v>
      </c>
      <c r="P359" s="127">
        <f t="shared" ref="P359:P361" si="64">H359*L359</f>
        <v>0</v>
      </c>
    </row>
    <row r="360" spans="1:16" ht="15.75">
      <c r="A360" s="260"/>
      <c r="B360" s="251"/>
      <c r="C360" s="156" t="s">
        <v>990</v>
      </c>
      <c r="D360" s="159"/>
      <c r="E360" s="159"/>
      <c r="F360" s="143"/>
      <c r="G360" s="157"/>
      <c r="H360" s="158"/>
      <c r="I360" s="419"/>
      <c r="J360" s="158"/>
      <c r="K360" s="406"/>
      <c r="L360" s="120">
        <f t="shared" si="60"/>
        <v>0</v>
      </c>
      <c r="M360" s="120">
        <f t="shared" si="61"/>
        <v>0</v>
      </c>
      <c r="N360" s="120">
        <f t="shared" si="62"/>
        <v>0</v>
      </c>
      <c r="O360" s="404">
        <f t="shared" si="63"/>
        <v>0</v>
      </c>
      <c r="P360" s="127">
        <f t="shared" si="64"/>
        <v>0</v>
      </c>
    </row>
    <row r="361" spans="1:16" ht="18.75" thickBot="1">
      <c r="A361" s="260"/>
      <c r="B361" s="251"/>
      <c r="C361" s="156" t="s">
        <v>991</v>
      </c>
      <c r="D361" s="159"/>
      <c r="E361" s="159"/>
      <c r="F361" s="143"/>
      <c r="G361" s="399" t="s">
        <v>273</v>
      </c>
      <c r="H361" s="120">
        <v>578.54</v>
      </c>
      <c r="I361" s="419">
        <v>545.96</v>
      </c>
      <c r="J361" s="158"/>
      <c r="K361" s="406"/>
      <c r="L361" s="120">
        <f t="shared" si="60"/>
        <v>0</v>
      </c>
      <c r="M361" s="120">
        <f t="shared" si="61"/>
        <v>315859.69839999999</v>
      </c>
      <c r="N361" s="120">
        <f t="shared" si="62"/>
        <v>0</v>
      </c>
      <c r="O361" s="404">
        <f t="shared" si="63"/>
        <v>0</v>
      </c>
      <c r="P361" s="127">
        <f t="shared" si="64"/>
        <v>0</v>
      </c>
    </row>
    <row r="362" spans="1:16" s="413" customFormat="1" ht="22.5" customHeight="1" thickTop="1" thickBot="1">
      <c r="A362" s="433"/>
      <c r="B362" s="440"/>
      <c r="C362" s="441"/>
      <c r="D362" s="441"/>
      <c r="E362" s="441" t="s">
        <v>656</v>
      </c>
      <c r="F362" s="441"/>
      <c r="G362" s="442"/>
      <c r="H362" s="410"/>
      <c r="I362" s="426"/>
      <c r="J362" s="410"/>
      <c r="K362" s="443"/>
      <c r="L362" s="443"/>
      <c r="M362" s="443">
        <f>SUM(M322:M361)</f>
        <v>2495662.7738000001</v>
      </c>
      <c r="N362" s="443">
        <f>SUM(N322:N361)</f>
        <v>3253339.9465000001</v>
      </c>
      <c r="O362" s="443">
        <f>SUM(O322:O361)</f>
        <v>0</v>
      </c>
      <c r="P362" s="526">
        <f>SUM(P322:P361)</f>
        <v>3253339.9465000001</v>
      </c>
    </row>
    <row r="363" spans="1:16" ht="16.5" thickTop="1">
      <c r="A363" s="260"/>
      <c r="B363" s="254"/>
      <c r="C363" s="261"/>
      <c r="D363" s="262"/>
      <c r="E363" s="262"/>
      <c r="F363" s="263"/>
      <c r="G363" s="264"/>
      <c r="H363" s="246"/>
      <c r="I363" s="416"/>
      <c r="J363" s="246"/>
      <c r="K363" s="403"/>
      <c r="L363" s="246"/>
      <c r="M363" s="256"/>
      <c r="N363" s="256"/>
      <c r="O363" s="635"/>
      <c r="P363" s="265"/>
    </row>
    <row r="364" spans="1:16" s="610" customFormat="1" ht="20.25">
      <c r="A364" s="603"/>
      <c r="B364" s="604"/>
      <c r="C364" s="611" t="s">
        <v>569</v>
      </c>
      <c r="D364" s="612"/>
      <c r="E364" s="612"/>
      <c r="F364" s="613"/>
      <c r="G364" s="624"/>
      <c r="H364" s="615"/>
      <c r="I364" s="417"/>
      <c r="J364" s="608"/>
      <c r="K364" s="404"/>
      <c r="L364" s="608"/>
      <c r="M364" s="608"/>
      <c r="N364" s="608"/>
      <c r="O364" s="404"/>
      <c r="P364" s="623"/>
    </row>
    <row r="365" spans="1:16" ht="15.75">
      <c r="A365" s="260"/>
      <c r="B365" s="118"/>
      <c r="C365" s="132"/>
      <c r="D365" s="129"/>
      <c r="E365" s="129"/>
      <c r="F365" s="130"/>
      <c r="G365" s="223"/>
      <c r="H365" s="120"/>
      <c r="I365" s="417"/>
      <c r="J365" s="120"/>
      <c r="K365" s="404"/>
      <c r="L365" s="120"/>
      <c r="M365" s="120"/>
      <c r="N365" s="120"/>
      <c r="O365" s="404"/>
      <c r="P365" s="127"/>
    </row>
    <row r="366" spans="1:16" ht="15.75">
      <c r="A366" s="260"/>
      <c r="B366" s="118"/>
      <c r="C366" s="128" t="s">
        <v>90</v>
      </c>
      <c r="D366" s="133"/>
      <c r="E366" s="133"/>
      <c r="F366" s="141"/>
      <c r="G366" s="222"/>
      <c r="H366" s="136"/>
      <c r="I366" s="417"/>
      <c r="J366" s="120"/>
      <c r="K366" s="404"/>
      <c r="L366" s="120"/>
      <c r="M366" s="120"/>
      <c r="N366" s="120"/>
      <c r="O366" s="404"/>
      <c r="P366" s="127"/>
    </row>
    <row r="367" spans="1:16" ht="15.75">
      <c r="A367" s="260"/>
      <c r="B367" s="118"/>
      <c r="C367" s="132"/>
      <c r="D367" s="129"/>
      <c r="E367" s="129"/>
      <c r="F367" s="130"/>
      <c r="G367" s="223"/>
      <c r="H367" s="120"/>
      <c r="I367" s="417"/>
      <c r="J367" s="120"/>
      <c r="K367" s="404"/>
      <c r="L367" s="120"/>
      <c r="M367" s="120"/>
      <c r="N367" s="120"/>
      <c r="O367" s="404"/>
      <c r="P367" s="127"/>
    </row>
    <row r="368" spans="1:16" ht="15.75">
      <c r="A368" s="260"/>
      <c r="B368" s="118"/>
      <c r="C368" s="128" t="s">
        <v>136</v>
      </c>
      <c r="D368" s="133"/>
      <c r="E368" s="133"/>
      <c r="F368" s="141"/>
      <c r="G368" s="222"/>
      <c r="H368" s="136"/>
      <c r="I368" s="417"/>
      <c r="J368" s="120"/>
      <c r="K368" s="404"/>
      <c r="L368" s="120"/>
      <c r="M368" s="120"/>
      <c r="N368" s="120"/>
      <c r="O368" s="404"/>
      <c r="P368" s="127"/>
    </row>
    <row r="369" spans="1:16" ht="15.75">
      <c r="A369" s="260"/>
      <c r="B369" s="118"/>
      <c r="C369" s="128"/>
      <c r="D369" s="133"/>
      <c r="E369" s="133"/>
      <c r="F369" s="141"/>
      <c r="G369" s="223"/>
      <c r="H369" s="120"/>
      <c r="I369" s="417"/>
      <c r="J369" s="120"/>
      <c r="K369" s="404"/>
      <c r="L369" s="120"/>
      <c r="M369" s="120"/>
      <c r="N369" s="120"/>
      <c r="O369" s="404"/>
      <c r="P369" s="127"/>
    </row>
    <row r="370" spans="1:16" ht="18">
      <c r="A370" s="260"/>
      <c r="B370" s="118" t="s">
        <v>153</v>
      </c>
      <c r="C370" s="132" t="s">
        <v>316</v>
      </c>
      <c r="D370" s="129"/>
      <c r="E370" s="129"/>
      <c r="F370" s="130"/>
      <c r="G370" s="134" t="s">
        <v>273</v>
      </c>
      <c r="H370" s="120">
        <v>26.11</v>
      </c>
      <c r="I370" s="417">
        <v>358.44</v>
      </c>
      <c r="J370" s="120">
        <f>1110.36+12</f>
        <v>1122.3599999999999</v>
      </c>
      <c r="K370" s="404">
        <v>0</v>
      </c>
      <c r="L370" s="120">
        <f>J370+K370</f>
        <v>1122.3599999999999</v>
      </c>
      <c r="M370" s="120">
        <f>H370*I370</f>
        <v>9358.8683999999994</v>
      </c>
      <c r="N370" s="120">
        <f t="shared" ref="N370:N378" si="65">H370*J370</f>
        <v>29304.819599999995</v>
      </c>
      <c r="O370" s="404">
        <f t="shared" ref="O370:O378" si="66">H370*K370</f>
        <v>0</v>
      </c>
      <c r="P370" s="127">
        <f t="shared" ref="P370:P378" si="67">H370*L370</f>
        <v>29304.819599999995</v>
      </c>
    </row>
    <row r="371" spans="1:16" ht="15.75">
      <c r="A371" s="260"/>
      <c r="B371" s="118" t="s">
        <v>494</v>
      </c>
      <c r="C371" s="125" t="s">
        <v>493</v>
      </c>
      <c r="D371" s="125"/>
      <c r="E371" s="125"/>
      <c r="F371" s="126"/>
      <c r="G371" s="134" t="s">
        <v>141</v>
      </c>
      <c r="H371" s="120">
        <v>48.12</v>
      </c>
      <c r="I371" s="417">
        <v>0</v>
      </c>
      <c r="J371" s="120">
        <v>1110.3599999999999</v>
      </c>
      <c r="K371" s="404"/>
      <c r="L371" s="120">
        <f>J371+K371</f>
        <v>1110.3599999999999</v>
      </c>
      <c r="M371" s="120">
        <f>H371*I371</f>
        <v>0</v>
      </c>
      <c r="N371" s="120">
        <f t="shared" si="65"/>
        <v>53430.523199999989</v>
      </c>
      <c r="O371" s="404">
        <f t="shared" si="66"/>
        <v>0</v>
      </c>
      <c r="P371" s="127">
        <f t="shared" si="67"/>
        <v>53430.523199999989</v>
      </c>
    </row>
    <row r="372" spans="1:16" ht="15.75">
      <c r="A372" s="260"/>
      <c r="B372" s="118" t="s">
        <v>154</v>
      </c>
      <c r="C372" s="132" t="s">
        <v>98</v>
      </c>
      <c r="D372" s="129"/>
      <c r="E372" s="129"/>
      <c r="F372" s="130"/>
      <c r="G372" s="223"/>
      <c r="H372" s="120"/>
      <c r="I372" s="417"/>
      <c r="J372" s="120"/>
      <c r="K372" s="404"/>
      <c r="L372" s="120"/>
      <c r="M372" s="120"/>
      <c r="N372" s="120">
        <f t="shared" si="65"/>
        <v>0</v>
      </c>
      <c r="O372" s="404">
        <f t="shared" si="66"/>
        <v>0</v>
      </c>
      <c r="P372" s="127">
        <f t="shared" si="67"/>
        <v>0</v>
      </c>
    </row>
    <row r="373" spans="1:16" ht="18">
      <c r="A373" s="260"/>
      <c r="B373" s="118"/>
      <c r="C373" s="132" t="s">
        <v>137</v>
      </c>
      <c r="D373" s="129"/>
      <c r="E373" s="129"/>
      <c r="F373" s="130"/>
      <c r="G373" s="134" t="s">
        <v>273</v>
      </c>
      <c r="H373" s="120">
        <v>34.11</v>
      </c>
      <c r="I373" s="417">
        <v>54.72</v>
      </c>
      <c r="J373" s="120">
        <v>0</v>
      </c>
      <c r="K373" s="404"/>
      <c r="L373" s="120">
        <f>J373+K373</f>
        <v>0</v>
      </c>
      <c r="M373" s="120">
        <f>H373*I373</f>
        <v>1866.4992</v>
      </c>
      <c r="N373" s="120">
        <f t="shared" si="65"/>
        <v>0</v>
      </c>
      <c r="O373" s="404">
        <f t="shared" si="66"/>
        <v>0</v>
      </c>
      <c r="P373" s="127">
        <f t="shared" si="67"/>
        <v>0</v>
      </c>
    </row>
    <row r="374" spans="1:16" ht="18">
      <c r="A374" s="260"/>
      <c r="B374" s="118" t="s">
        <v>496</v>
      </c>
      <c r="C374" s="132" t="s">
        <v>497</v>
      </c>
      <c r="D374" s="129"/>
      <c r="E374" s="129"/>
      <c r="F374" s="130"/>
      <c r="G374" s="134" t="s">
        <v>273</v>
      </c>
      <c r="H374" s="120">
        <v>34.11</v>
      </c>
      <c r="I374" s="417">
        <v>0</v>
      </c>
      <c r="J374" s="120"/>
      <c r="K374" s="404"/>
      <c r="L374" s="120">
        <f>J374+K374</f>
        <v>0</v>
      </c>
      <c r="M374" s="120">
        <f>H374*I374</f>
        <v>0</v>
      </c>
      <c r="N374" s="120">
        <f t="shared" si="65"/>
        <v>0</v>
      </c>
      <c r="O374" s="404">
        <f t="shared" si="66"/>
        <v>0</v>
      </c>
      <c r="P374" s="127">
        <f t="shared" si="67"/>
        <v>0</v>
      </c>
    </row>
    <row r="375" spans="1:16" ht="15.75">
      <c r="A375" s="260"/>
      <c r="B375" s="118" t="s">
        <v>496</v>
      </c>
      <c r="C375" s="1413" t="s">
        <v>768</v>
      </c>
      <c r="D375" s="1414"/>
      <c r="E375" s="1414"/>
      <c r="F375" s="1415"/>
      <c r="G375" s="399"/>
      <c r="H375" s="120">
        <v>34.11</v>
      </c>
      <c r="I375" s="417"/>
      <c r="J375" s="120">
        <v>427.15</v>
      </c>
      <c r="K375" s="404"/>
      <c r="L375" s="120">
        <f>J375+K375</f>
        <v>427.15</v>
      </c>
      <c r="M375" s="120">
        <f>H375*I375</f>
        <v>0</v>
      </c>
      <c r="N375" s="120">
        <f t="shared" si="65"/>
        <v>14570.086499999999</v>
      </c>
      <c r="O375" s="404">
        <f t="shared" si="66"/>
        <v>0</v>
      </c>
      <c r="P375" s="127">
        <f t="shared" si="67"/>
        <v>14570.086499999999</v>
      </c>
    </row>
    <row r="376" spans="1:16" ht="15.75">
      <c r="A376" s="260"/>
      <c r="B376" s="118"/>
      <c r="C376" s="1413" t="s">
        <v>769</v>
      </c>
      <c r="D376" s="1414"/>
      <c r="E376" s="1414"/>
      <c r="F376" s="1415"/>
      <c r="G376" s="399"/>
      <c r="H376" s="404"/>
      <c r="I376" s="417">
        <v>0</v>
      </c>
      <c r="J376" s="120">
        <v>0</v>
      </c>
      <c r="K376" s="404"/>
      <c r="L376" s="120">
        <f>J376+K376</f>
        <v>0</v>
      </c>
      <c r="M376" s="120">
        <f>H376*I376</f>
        <v>0</v>
      </c>
      <c r="N376" s="120">
        <f t="shared" si="65"/>
        <v>0</v>
      </c>
      <c r="O376" s="404">
        <f t="shared" si="66"/>
        <v>0</v>
      </c>
      <c r="P376" s="127">
        <f t="shared" si="67"/>
        <v>0</v>
      </c>
    </row>
    <row r="377" spans="1:16" ht="15.75">
      <c r="A377" s="260"/>
      <c r="B377" s="118" t="s">
        <v>155</v>
      </c>
      <c r="C377" s="132" t="s">
        <v>100</v>
      </c>
      <c r="D377" s="129"/>
      <c r="E377" s="129"/>
      <c r="F377" s="130"/>
      <c r="G377" s="223"/>
      <c r="H377" s="120"/>
      <c r="I377" s="417"/>
      <c r="J377" s="120"/>
      <c r="K377" s="404"/>
      <c r="L377" s="120"/>
      <c r="M377" s="120"/>
      <c r="N377" s="120">
        <f t="shared" si="65"/>
        <v>0</v>
      </c>
      <c r="O377" s="404">
        <f t="shared" si="66"/>
        <v>0</v>
      </c>
      <c r="P377" s="127">
        <f t="shared" si="67"/>
        <v>0</v>
      </c>
    </row>
    <row r="378" spans="1:16" ht="18">
      <c r="A378" s="260"/>
      <c r="B378" s="144"/>
      <c r="C378" s="132" t="s">
        <v>108</v>
      </c>
      <c r="D378" s="129"/>
      <c r="E378" s="129"/>
      <c r="F378" s="130"/>
      <c r="G378" s="134" t="s">
        <v>273</v>
      </c>
      <c r="H378" s="120">
        <v>34.69</v>
      </c>
      <c r="I378" s="417">
        <v>477.92</v>
      </c>
      <c r="J378" s="120">
        <f>3039.48+12</f>
        <v>3051.48</v>
      </c>
      <c r="K378" s="404">
        <v>0</v>
      </c>
      <c r="L378" s="120">
        <f>J378+K378</f>
        <v>3051.48</v>
      </c>
      <c r="M378" s="120">
        <f>H378*I378</f>
        <v>16579.0448</v>
      </c>
      <c r="N378" s="120">
        <f t="shared" si="65"/>
        <v>105855.8412</v>
      </c>
      <c r="O378" s="404">
        <f t="shared" si="66"/>
        <v>0</v>
      </c>
      <c r="P378" s="127">
        <f t="shared" si="67"/>
        <v>105855.8412</v>
      </c>
    </row>
    <row r="379" spans="1:16" ht="15.75">
      <c r="A379" s="260"/>
      <c r="B379" s="118"/>
      <c r="C379" s="133" t="s">
        <v>320</v>
      </c>
      <c r="D379" s="141"/>
      <c r="E379" s="337"/>
      <c r="F379" s="337"/>
      <c r="G379" s="221"/>
      <c r="H379" s="136"/>
      <c r="I379" s="417"/>
      <c r="J379" s="120"/>
      <c r="K379" s="404"/>
      <c r="L379" s="120"/>
      <c r="M379" s="120"/>
      <c r="N379" s="120"/>
      <c r="O379" s="404"/>
      <c r="P379" s="121"/>
    </row>
    <row r="380" spans="1:16" ht="15.75">
      <c r="A380" s="260"/>
      <c r="B380" s="118" t="s">
        <v>255</v>
      </c>
      <c r="C380" s="132" t="s">
        <v>318</v>
      </c>
      <c r="D380" s="129"/>
      <c r="E380" s="133"/>
      <c r="F380" s="141"/>
      <c r="G380" s="221"/>
      <c r="H380" s="136"/>
      <c r="I380" s="417"/>
      <c r="J380" s="120"/>
      <c r="K380" s="404"/>
      <c r="L380" s="120"/>
      <c r="M380" s="120"/>
      <c r="N380" s="120"/>
      <c r="O380" s="404"/>
      <c r="P380" s="121"/>
    </row>
    <row r="381" spans="1:16" ht="18">
      <c r="A381" s="260"/>
      <c r="B381" s="118"/>
      <c r="C381" s="132" t="s">
        <v>319</v>
      </c>
      <c r="D381" s="129"/>
      <c r="E381" s="133"/>
      <c r="F381" s="141"/>
      <c r="G381" s="221"/>
      <c r="H381" s="120"/>
      <c r="I381" s="417"/>
      <c r="J381" s="120"/>
      <c r="K381" s="404"/>
      <c r="L381" s="120"/>
      <c r="M381" s="120"/>
      <c r="N381" s="120"/>
      <c r="O381" s="404"/>
      <c r="P381" s="121"/>
    </row>
    <row r="382" spans="1:16" ht="18">
      <c r="A382" s="260"/>
      <c r="B382" s="118"/>
      <c r="C382" s="132" t="s">
        <v>231</v>
      </c>
      <c r="D382" s="129"/>
      <c r="E382" s="133"/>
      <c r="F382" s="141"/>
      <c r="G382" s="134" t="s">
        <v>275</v>
      </c>
      <c r="H382" s="120">
        <v>35.47</v>
      </c>
      <c r="I382" s="417">
        <v>182.4</v>
      </c>
      <c r="J382" s="120">
        <f>188.32+8</f>
        <v>196.32</v>
      </c>
      <c r="K382" s="404">
        <v>0</v>
      </c>
      <c r="L382" s="120">
        <f>K382+J382</f>
        <v>196.32</v>
      </c>
      <c r="M382" s="120">
        <f>H382*I382</f>
        <v>6469.7280000000001</v>
      </c>
      <c r="N382" s="120">
        <f>H382*J382</f>
        <v>6963.4703999999992</v>
      </c>
      <c r="O382" s="404">
        <f>H382*K382</f>
        <v>0</v>
      </c>
      <c r="P382" s="121">
        <f>L382*H382</f>
        <v>6963.4703999999992</v>
      </c>
    </row>
    <row r="383" spans="1:16" ht="15.75">
      <c r="A383" s="260"/>
      <c r="B383" s="118" t="s">
        <v>256</v>
      </c>
      <c r="C383" s="132" t="s">
        <v>233</v>
      </c>
      <c r="D383" s="129"/>
      <c r="E383" s="133"/>
      <c r="F383" s="141"/>
      <c r="G383" s="221"/>
      <c r="H383" s="120"/>
      <c r="I383" s="417"/>
      <c r="J383" s="120"/>
      <c r="K383" s="404"/>
      <c r="L383" s="120">
        <f t="shared" ref="L383:L400" si="68">K383+J383</f>
        <v>0</v>
      </c>
      <c r="M383" s="120">
        <f t="shared" ref="M383:M394" si="69">H383*I383</f>
        <v>0</v>
      </c>
      <c r="N383" s="120">
        <f t="shared" ref="N383:N394" si="70">H383*J383</f>
        <v>0</v>
      </c>
      <c r="O383" s="404">
        <f t="shared" ref="O383:O394" si="71">H383*K383</f>
        <v>0</v>
      </c>
      <c r="P383" s="121">
        <f t="shared" ref="P383:P394" si="72">L383*H383</f>
        <v>0</v>
      </c>
    </row>
    <row r="384" spans="1:16" ht="15.75">
      <c r="A384" s="260"/>
      <c r="B384" s="118"/>
      <c r="C384" s="132" t="s">
        <v>234</v>
      </c>
      <c r="D384" s="129"/>
      <c r="E384" s="133"/>
      <c r="F384" s="141"/>
      <c r="G384" s="221"/>
      <c r="H384" s="120"/>
      <c r="I384" s="417"/>
      <c r="J384" s="120"/>
      <c r="K384" s="404"/>
      <c r="L384" s="120">
        <f t="shared" si="68"/>
        <v>0</v>
      </c>
      <c r="M384" s="120">
        <f t="shared" si="69"/>
        <v>0</v>
      </c>
      <c r="N384" s="120">
        <f t="shared" si="70"/>
        <v>0</v>
      </c>
      <c r="O384" s="404">
        <f t="shared" si="71"/>
        <v>0</v>
      </c>
      <c r="P384" s="121">
        <f t="shared" si="72"/>
        <v>0</v>
      </c>
    </row>
    <row r="385" spans="1:16" ht="15.75">
      <c r="A385" s="260"/>
      <c r="B385" s="118"/>
      <c r="C385" s="132" t="s">
        <v>235</v>
      </c>
      <c r="D385" s="129"/>
      <c r="E385" s="133"/>
      <c r="F385" s="141"/>
      <c r="G385" s="221"/>
      <c r="H385" s="120"/>
      <c r="I385" s="417"/>
      <c r="J385" s="120"/>
      <c r="K385" s="404"/>
      <c r="L385" s="120">
        <f t="shared" si="68"/>
        <v>0</v>
      </c>
      <c r="M385" s="120">
        <f t="shared" si="69"/>
        <v>0</v>
      </c>
      <c r="N385" s="120">
        <f t="shared" si="70"/>
        <v>0</v>
      </c>
      <c r="O385" s="404">
        <f t="shared" si="71"/>
        <v>0</v>
      </c>
      <c r="P385" s="121">
        <f t="shared" si="72"/>
        <v>0</v>
      </c>
    </row>
    <row r="386" spans="1:16" ht="18">
      <c r="A386" s="260"/>
      <c r="B386" s="118"/>
      <c r="C386" s="132" t="s">
        <v>236</v>
      </c>
      <c r="D386" s="129"/>
      <c r="E386" s="133"/>
      <c r="F386" s="141"/>
      <c r="G386" s="134" t="s">
        <v>273</v>
      </c>
      <c r="H386" s="120">
        <v>1434.18</v>
      </c>
      <c r="I386" s="417">
        <v>72.959999999999994</v>
      </c>
      <c r="J386" s="120">
        <f>67.84+3.2</f>
        <v>71.040000000000006</v>
      </c>
      <c r="K386" s="404">
        <v>0</v>
      </c>
      <c r="L386" s="120">
        <f t="shared" si="68"/>
        <v>71.040000000000006</v>
      </c>
      <c r="M386" s="120">
        <f t="shared" si="69"/>
        <v>104637.77279999999</v>
      </c>
      <c r="N386" s="120">
        <f t="shared" si="70"/>
        <v>101884.14720000001</v>
      </c>
      <c r="O386" s="404">
        <f t="shared" si="71"/>
        <v>0</v>
      </c>
      <c r="P386" s="121">
        <f t="shared" si="72"/>
        <v>101884.14720000001</v>
      </c>
    </row>
    <row r="387" spans="1:16" ht="18">
      <c r="A387" s="260"/>
      <c r="B387" s="118"/>
      <c r="C387" s="132" t="s">
        <v>261</v>
      </c>
      <c r="D387" s="129"/>
      <c r="E387" s="133"/>
      <c r="F387" s="141"/>
      <c r="G387" s="134" t="s">
        <v>273</v>
      </c>
      <c r="H387" s="120">
        <v>1434.18</v>
      </c>
      <c r="I387" s="417">
        <v>77.17</v>
      </c>
      <c r="J387" s="120">
        <f>88.47+3.55</f>
        <v>92.02</v>
      </c>
      <c r="K387" s="404">
        <v>0</v>
      </c>
      <c r="L387" s="120">
        <f>K387+J387</f>
        <v>92.02</v>
      </c>
      <c r="M387" s="120">
        <f t="shared" si="69"/>
        <v>110675.67060000001</v>
      </c>
      <c r="N387" s="120">
        <f t="shared" si="70"/>
        <v>131973.24359999999</v>
      </c>
      <c r="O387" s="404">
        <f t="shared" si="71"/>
        <v>0</v>
      </c>
      <c r="P387" s="457">
        <f>L387*H387</f>
        <v>131973.24359999999</v>
      </c>
    </row>
    <row r="388" spans="1:16" ht="15.75">
      <c r="A388" s="260"/>
      <c r="B388" s="118" t="s">
        <v>257</v>
      </c>
      <c r="C388" s="132" t="s">
        <v>239</v>
      </c>
      <c r="D388" s="129"/>
      <c r="E388" s="133"/>
      <c r="F388" s="141"/>
      <c r="G388" s="221"/>
      <c r="H388" s="120"/>
      <c r="I388" s="417"/>
      <c r="J388" s="120"/>
      <c r="K388" s="404"/>
      <c r="L388" s="120">
        <f t="shared" si="68"/>
        <v>0</v>
      </c>
      <c r="M388" s="120">
        <f t="shared" si="69"/>
        <v>0</v>
      </c>
      <c r="N388" s="120">
        <f t="shared" si="70"/>
        <v>0</v>
      </c>
      <c r="O388" s="404">
        <f t="shared" si="71"/>
        <v>0</v>
      </c>
      <c r="P388" s="121">
        <f t="shared" si="72"/>
        <v>0</v>
      </c>
    </row>
    <row r="389" spans="1:16" ht="15.75">
      <c r="A389" s="260"/>
      <c r="B389" s="118"/>
      <c r="C389" s="132" t="s">
        <v>240</v>
      </c>
      <c r="D389" s="129"/>
      <c r="E389" s="133"/>
      <c r="F389" s="141"/>
      <c r="G389" s="221"/>
      <c r="H389" s="120"/>
      <c r="I389" s="417"/>
      <c r="J389" s="120"/>
      <c r="K389" s="404"/>
      <c r="L389" s="120">
        <f t="shared" si="68"/>
        <v>0</v>
      </c>
      <c r="M389" s="120">
        <f t="shared" si="69"/>
        <v>0</v>
      </c>
      <c r="N389" s="120">
        <f t="shared" si="70"/>
        <v>0</v>
      </c>
      <c r="O389" s="404">
        <f t="shared" si="71"/>
        <v>0</v>
      </c>
      <c r="P389" s="121">
        <f t="shared" si="72"/>
        <v>0</v>
      </c>
    </row>
    <row r="390" spans="1:16" ht="18">
      <c r="A390" s="260"/>
      <c r="B390" s="118"/>
      <c r="C390" s="132" t="s">
        <v>242</v>
      </c>
      <c r="D390" s="129"/>
      <c r="E390" s="133"/>
      <c r="F390" s="141"/>
      <c r="G390" s="134" t="s">
        <v>275</v>
      </c>
      <c r="H390" s="120">
        <v>58.19</v>
      </c>
      <c r="I390" s="417">
        <v>49.76</v>
      </c>
      <c r="J390" s="120">
        <f>73.52+7.29</f>
        <v>80.81</v>
      </c>
      <c r="K390" s="404">
        <v>0</v>
      </c>
      <c r="L390" s="120">
        <f t="shared" si="68"/>
        <v>80.81</v>
      </c>
      <c r="M390" s="120">
        <f t="shared" si="69"/>
        <v>2895.5343999999996</v>
      </c>
      <c r="N390" s="120">
        <f t="shared" si="70"/>
        <v>4702.3338999999996</v>
      </c>
      <c r="O390" s="404">
        <f t="shared" si="71"/>
        <v>0</v>
      </c>
      <c r="P390" s="121">
        <f t="shared" si="72"/>
        <v>4702.3338999999996</v>
      </c>
    </row>
    <row r="391" spans="1:16" ht="18">
      <c r="A391" s="260"/>
      <c r="B391" s="118"/>
      <c r="C391" s="132" t="s">
        <v>261</v>
      </c>
      <c r="D391" s="129"/>
      <c r="E391" s="133"/>
      <c r="F391" s="141"/>
      <c r="G391" s="134" t="s">
        <v>275</v>
      </c>
      <c r="H391" s="120">
        <v>58.19</v>
      </c>
      <c r="I391" s="417">
        <v>514.48</v>
      </c>
      <c r="J391" s="120">
        <f>562.56+13.67</f>
        <v>576.2299999999999</v>
      </c>
      <c r="K391" s="404">
        <v>0</v>
      </c>
      <c r="L391" s="120">
        <f t="shared" si="68"/>
        <v>576.2299999999999</v>
      </c>
      <c r="M391" s="120">
        <f t="shared" si="69"/>
        <v>29937.591199999999</v>
      </c>
      <c r="N391" s="120">
        <f t="shared" si="70"/>
        <v>33530.823699999994</v>
      </c>
      <c r="O391" s="404">
        <f t="shared" si="71"/>
        <v>0</v>
      </c>
      <c r="P391" s="121">
        <f t="shared" si="72"/>
        <v>33530.823699999994</v>
      </c>
    </row>
    <row r="392" spans="1:16" ht="15.75">
      <c r="A392" s="260"/>
      <c r="B392" s="118" t="s">
        <v>258</v>
      </c>
      <c r="C392" s="132" t="s">
        <v>243</v>
      </c>
      <c r="D392" s="129"/>
      <c r="E392" s="133"/>
      <c r="F392" s="141"/>
      <c r="G392" s="221"/>
      <c r="H392" s="120"/>
      <c r="I392" s="417"/>
      <c r="J392" s="120"/>
      <c r="K392" s="404"/>
      <c r="L392" s="120">
        <f t="shared" si="68"/>
        <v>0</v>
      </c>
      <c r="M392" s="120">
        <f t="shared" si="69"/>
        <v>0</v>
      </c>
      <c r="N392" s="120">
        <f t="shared" si="70"/>
        <v>0</v>
      </c>
      <c r="O392" s="404">
        <f t="shared" si="71"/>
        <v>0</v>
      </c>
      <c r="P392" s="121">
        <f t="shared" si="72"/>
        <v>0</v>
      </c>
    </row>
    <row r="393" spans="1:16" ht="15.75">
      <c r="A393" s="260"/>
      <c r="B393" s="118"/>
      <c r="C393" s="132" t="s">
        <v>244</v>
      </c>
      <c r="D393" s="129"/>
      <c r="E393" s="133"/>
      <c r="F393" s="141"/>
      <c r="G393" s="221"/>
      <c r="H393" s="120"/>
      <c r="I393" s="417"/>
      <c r="J393" s="120"/>
      <c r="K393" s="404"/>
      <c r="L393" s="120">
        <f t="shared" si="68"/>
        <v>0</v>
      </c>
      <c r="M393" s="120">
        <f t="shared" si="69"/>
        <v>0</v>
      </c>
      <c r="N393" s="120">
        <f t="shared" si="70"/>
        <v>0</v>
      </c>
      <c r="O393" s="404">
        <f t="shared" si="71"/>
        <v>0</v>
      </c>
      <c r="P393" s="121">
        <f t="shared" si="72"/>
        <v>0</v>
      </c>
    </row>
    <row r="394" spans="1:16" ht="15.75">
      <c r="A394" s="260"/>
      <c r="B394" s="118"/>
      <c r="C394" s="132" t="s">
        <v>245</v>
      </c>
      <c r="D394" s="129"/>
      <c r="E394" s="133"/>
      <c r="F394" s="141"/>
      <c r="G394" s="134" t="s">
        <v>103</v>
      </c>
      <c r="H394" s="120">
        <v>2.02</v>
      </c>
      <c r="I394" s="417">
        <v>7153.37</v>
      </c>
      <c r="J394" s="120">
        <f>7742.65+126.1</f>
        <v>7868.75</v>
      </c>
      <c r="K394" s="404">
        <v>0</v>
      </c>
      <c r="L394" s="120">
        <f t="shared" si="68"/>
        <v>7868.75</v>
      </c>
      <c r="M394" s="120">
        <f t="shared" si="69"/>
        <v>14449.8074</v>
      </c>
      <c r="N394" s="120">
        <f t="shared" si="70"/>
        <v>15894.875</v>
      </c>
      <c r="O394" s="404">
        <f t="shared" si="71"/>
        <v>0</v>
      </c>
      <c r="P394" s="121">
        <f t="shared" si="72"/>
        <v>15894.875</v>
      </c>
    </row>
    <row r="395" spans="1:16" ht="15.75">
      <c r="A395" s="260"/>
      <c r="B395" s="118"/>
      <c r="C395" s="132" t="s">
        <v>262</v>
      </c>
      <c r="D395" s="129"/>
      <c r="E395" s="133"/>
      <c r="F395" s="141"/>
      <c r="G395" s="134" t="s">
        <v>103</v>
      </c>
      <c r="H395" s="120">
        <v>2.02</v>
      </c>
      <c r="I395" s="417">
        <v>12401.91</v>
      </c>
      <c r="J395" s="120">
        <f>13468.26+527.37</f>
        <v>13995.630000000001</v>
      </c>
      <c r="K395" s="404">
        <v>0</v>
      </c>
      <c r="L395" s="120">
        <f t="shared" si="68"/>
        <v>13995.630000000001</v>
      </c>
      <c r="M395" s="120">
        <f t="shared" ref="M395:M400" si="73">H395*I395</f>
        <v>25051.858199999999</v>
      </c>
      <c r="N395" s="120">
        <f t="shared" ref="N395:N400" si="74">H395*J395</f>
        <v>28271.172600000002</v>
      </c>
      <c r="O395" s="404">
        <f t="shared" ref="O395:O400" si="75">H395*K395</f>
        <v>0</v>
      </c>
      <c r="P395" s="121">
        <f t="shared" ref="P395:P400" si="76">L395*H395</f>
        <v>28271.172600000002</v>
      </c>
    </row>
    <row r="396" spans="1:16" ht="15.75">
      <c r="A396" s="260"/>
      <c r="B396" s="118"/>
      <c r="C396" s="132" t="s">
        <v>246</v>
      </c>
      <c r="D396" s="129"/>
      <c r="E396" s="133"/>
      <c r="F396" s="141"/>
      <c r="G396" s="134" t="s">
        <v>103</v>
      </c>
      <c r="H396" s="120">
        <v>2.02</v>
      </c>
      <c r="I396" s="417">
        <v>29.82</v>
      </c>
      <c r="J396" s="120">
        <v>50.53</v>
      </c>
      <c r="K396" s="404"/>
      <c r="L396" s="120">
        <f t="shared" si="68"/>
        <v>50.53</v>
      </c>
      <c r="M396" s="120">
        <f t="shared" si="73"/>
        <v>60.236400000000003</v>
      </c>
      <c r="N396" s="120">
        <f t="shared" si="74"/>
        <v>102.0706</v>
      </c>
      <c r="O396" s="404">
        <f t="shared" si="75"/>
        <v>0</v>
      </c>
      <c r="P396" s="121">
        <f t="shared" si="76"/>
        <v>102.0706</v>
      </c>
    </row>
    <row r="397" spans="1:16" ht="15.75">
      <c r="A397" s="260"/>
      <c r="B397" s="118" t="s">
        <v>259</v>
      </c>
      <c r="C397" s="132" t="s">
        <v>247</v>
      </c>
      <c r="D397" s="129"/>
      <c r="E397" s="133"/>
      <c r="F397" s="141"/>
      <c r="G397" s="221"/>
      <c r="H397" s="120"/>
      <c r="I397" s="417"/>
      <c r="J397" s="120"/>
      <c r="K397" s="404"/>
      <c r="L397" s="120">
        <f t="shared" si="68"/>
        <v>0</v>
      </c>
      <c r="M397" s="120">
        <f t="shared" si="73"/>
        <v>0</v>
      </c>
      <c r="N397" s="120">
        <f t="shared" si="74"/>
        <v>0</v>
      </c>
      <c r="O397" s="404">
        <f t="shared" si="75"/>
        <v>0</v>
      </c>
      <c r="P397" s="121">
        <f t="shared" si="76"/>
        <v>0</v>
      </c>
    </row>
    <row r="398" spans="1:16" ht="15.75">
      <c r="A398" s="260"/>
      <c r="B398" s="118"/>
      <c r="C398" s="132" t="s">
        <v>248</v>
      </c>
      <c r="D398" s="129"/>
      <c r="E398" s="133"/>
      <c r="F398" s="141"/>
      <c r="G398" s="134" t="s">
        <v>254</v>
      </c>
      <c r="H398" s="120">
        <v>35</v>
      </c>
      <c r="I398" s="417">
        <v>46.2</v>
      </c>
      <c r="J398" s="120">
        <v>204.8</v>
      </c>
      <c r="K398" s="404"/>
      <c r="L398" s="120">
        <f t="shared" si="68"/>
        <v>204.8</v>
      </c>
      <c r="M398" s="120">
        <f t="shared" si="73"/>
        <v>1617</v>
      </c>
      <c r="N398" s="120">
        <f t="shared" si="74"/>
        <v>7168</v>
      </c>
      <c r="O398" s="404">
        <f t="shared" si="75"/>
        <v>0</v>
      </c>
      <c r="P398" s="121">
        <f t="shared" si="76"/>
        <v>7168</v>
      </c>
    </row>
    <row r="399" spans="1:16" ht="15.75">
      <c r="A399" s="260"/>
      <c r="B399" s="118" t="s">
        <v>260</v>
      </c>
      <c r="C399" s="132" t="s">
        <v>249</v>
      </c>
      <c r="D399" s="129"/>
      <c r="E399" s="133"/>
      <c r="F399" s="141"/>
      <c r="G399" s="221"/>
      <c r="H399" s="120"/>
      <c r="I399" s="417"/>
      <c r="J399" s="120"/>
      <c r="K399" s="404"/>
      <c r="L399" s="120">
        <f t="shared" si="68"/>
        <v>0</v>
      </c>
      <c r="M399" s="120">
        <f t="shared" si="73"/>
        <v>0</v>
      </c>
      <c r="N399" s="120">
        <f t="shared" si="74"/>
        <v>0</v>
      </c>
      <c r="O399" s="404">
        <f t="shared" si="75"/>
        <v>0</v>
      </c>
      <c r="P399" s="121">
        <f t="shared" si="76"/>
        <v>0</v>
      </c>
    </row>
    <row r="400" spans="1:16" ht="15.75">
      <c r="A400" s="260"/>
      <c r="B400" s="118"/>
      <c r="C400" s="132" t="s">
        <v>250</v>
      </c>
      <c r="D400" s="129"/>
      <c r="E400" s="133"/>
      <c r="F400" s="141"/>
      <c r="G400" s="134" t="s">
        <v>254</v>
      </c>
      <c r="H400" s="120">
        <v>235</v>
      </c>
      <c r="I400" s="417">
        <v>32</v>
      </c>
      <c r="J400" s="120">
        <f>794.88+5.9</f>
        <v>800.78</v>
      </c>
      <c r="K400" s="404">
        <v>0</v>
      </c>
      <c r="L400" s="120">
        <f t="shared" si="68"/>
        <v>800.78</v>
      </c>
      <c r="M400" s="120">
        <f t="shared" si="73"/>
        <v>7520</v>
      </c>
      <c r="N400" s="120">
        <f t="shared" si="74"/>
        <v>188183.3</v>
      </c>
      <c r="O400" s="404">
        <f t="shared" si="75"/>
        <v>0</v>
      </c>
      <c r="P400" s="121">
        <f t="shared" si="76"/>
        <v>188183.3</v>
      </c>
    </row>
    <row r="401" spans="1:16" ht="15.75">
      <c r="A401" s="260"/>
      <c r="B401" s="118"/>
      <c r="C401" s="128" t="s">
        <v>1384</v>
      </c>
      <c r="D401" s="129"/>
      <c r="E401" s="133"/>
      <c r="F401" s="141"/>
      <c r="G401" s="399"/>
      <c r="H401" s="120"/>
      <c r="I401" s="417"/>
      <c r="J401" s="120"/>
      <c r="K401" s="404"/>
      <c r="L401" s="120"/>
      <c r="M401" s="120"/>
      <c r="N401" s="120"/>
      <c r="O401" s="404"/>
      <c r="P401" s="121"/>
    </row>
    <row r="402" spans="1:16" ht="15.75">
      <c r="A402" s="260"/>
      <c r="B402" s="118" t="s">
        <v>1385</v>
      </c>
      <c r="C402" s="132" t="s">
        <v>1386</v>
      </c>
      <c r="D402" s="129"/>
      <c r="E402" s="133"/>
      <c r="F402" s="141"/>
      <c r="G402" s="399"/>
      <c r="H402" s="120"/>
      <c r="I402" s="417"/>
      <c r="J402" s="120"/>
      <c r="K402" s="404"/>
      <c r="L402" s="120"/>
      <c r="M402" s="120"/>
      <c r="N402" s="120"/>
      <c r="O402" s="404"/>
      <c r="P402" s="121"/>
    </row>
    <row r="403" spans="1:16" ht="33" customHeight="1">
      <c r="A403" s="260"/>
      <c r="C403" s="1433" t="s">
        <v>1387</v>
      </c>
      <c r="D403" s="1359"/>
      <c r="E403" s="1359"/>
      <c r="F403" s="1360"/>
      <c r="G403" s="399"/>
      <c r="H403" s="120"/>
      <c r="I403" s="417"/>
      <c r="J403" s="120"/>
      <c r="K403" s="404"/>
      <c r="L403" s="120"/>
      <c r="M403" s="120"/>
      <c r="N403" s="120"/>
      <c r="O403" s="404"/>
      <c r="P403" s="121"/>
    </row>
    <row r="404" spans="1:16" ht="18">
      <c r="A404" s="260"/>
      <c r="B404" s="118"/>
      <c r="C404" s="132" t="s">
        <v>1388</v>
      </c>
      <c r="D404" s="129"/>
      <c r="E404" s="133"/>
      <c r="F404" s="141"/>
      <c r="G404" s="399" t="s">
        <v>273</v>
      </c>
      <c r="H404" s="120">
        <v>537.21</v>
      </c>
      <c r="I404" s="417">
        <v>101</v>
      </c>
      <c r="J404" s="120"/>
      <c r="K404" s="404">
        <v>101</v>
      </c>
      <c r="L404" s="120">
        <f>K404+J404</f>
        <v>101</v>
      </c>
      <c r="M404" s="120">
        <f t="shared" ref="M404" si="77">H404*I404</f>
        <v>54258.210000000006</v>
      </c>
      <c r="N404" s="120">
        <f t="shared" ref="N404" si="78">H404*J404</f>
        <v>0</v>
      </c>
      <c r="O404" s="404">
        <f t="shared" ref="O404" si="79">H404*K404</f>
        <v>54258.210000000006</v>
      </c>
      <c r="P404" s="457">
        <f>L404*H404</f>
        <v>54258.210000000006</v>
      </c>
    </row>
    <row r="405" spans="1:16" ht="18">
      <c r="A405" s="260"/>
      <c r="B405" s="118"/>
      <c r="C405" s="132" t="s">
        <v>1389</v>
      </c>
      <c r="D405" s="129"/>
      <c r="E405" s="133"/>
      <c r="F405" s="141"/>
      <c r="G405" s="399" t="s">
        <v>273</v>
      </c>
      <c r="H405" s="120">
        <v>537.21</v>
      </c>
      <c r="I405" s="417">
        <v>30.3</v>
      </c>
      <c r="J405" s="120"/>
      <c r="K405" s="404">
        <v>30.3</v>
      </c>
      <c r="L405" s="120">
        <f>K405+J405</f>
        <v>30.3</v>
      </c>
      <c r="M405" s="120">
        <f t="shared" ref="M405" si="80">H405*I405</f>
        <v>16277.463000000002</v>
      </c>
      <c r="N405" s="120">
        <f t="shared" ref="N405" si="81">H405*J405</f>
        <v>0</v>
      </c>
      <c r="O405" s="404">
        <f t="shared" ref="O405" si="82">H405*K405</f>
        <v>16277.463000000002</v>
      </c>
      <c r="P405" s="457">
        <f>L405*H405</f>
        <v>16277.463000000002</v>
      </c>
    </row>
    <row r="406" spans="1:16" ht="15.75">
      <c r="A406" s="260"/>
      <c r="B406" s="118"/>
      <c r="C406" s="132"/>
      <c r="D406" s="129"/>
      <c r="E406" s="133"/>
      <c r="F406" s="141"/>
      <c r="G406" s="399"/>
      <c r="H406" s="120"/>
      <c r="I406" s="417"/>
      <c r="J406" s="120"/>
      <c r="K406" s="404"/>
      <c r="L406" s="120"/>
      <c r="M406" s="120"/>
      <c r="N406" s="120"/>
      <c r="O406" s="404"/>
      <c r="P406" s="121"/>
    </row>
    <row r="407" spans="1:16" s="413" customFormat="1" ht="18">
      <c r="A407" s="433"/>
      <c r="B407" s="444"/>
      <c r="C407" s="445"/>
      <c r="D407" s="446"/>
      <c r="E407" s="446"/>
      <c r="F407" s="447" t="s">
        <v>317</v>
      </c>
      <c r="G407" s="448"/>
      <c r="H407" s="404"/>
      <c r="I407" s="417"/>
      <c r="J407" s="408"/>
      <c r="K407" s="449"/>
      <c r="L407" s="449"/>
      <c r="M407" s="449">
        <f>SUM(M370:M400)</f>
        <v>331119.61140000005</v>
      </c>
      <c r="N407" s="449">
        <f>SUM(N370:N400)</f>
        <v>721834.70750000002</v>
      </c>
      <c r="O407" s="449">
        <f>SUM(O404:O406)</f>
        <v>70535.67300000001</v>
      </c>
      <c r="P407" s="532">
        <f>SUM(P370:P400)</f>
        <v>721834.70750000002</v>
      </c>
    </row>
    <row r="408" spans="1:16" s="610" customFormat="1" ht="20.25">
      <c r="A408" s="603"/>
      <c r="B408" s="604"/>
      <c r="C408" s="611" t="s">
        <v>568</v>
      </c>
      <c r="D408" s="612"/>
      <c r="E408" s="612"/>
      <c r="F408" s="613"/>
      <c r="G408" s="624"/>
      <c r="H408" s="608"/>
      <c r="I408" s="417"/>
      <c r="J408" s="608"/>
      <c r="K408" s="404"/>
      <c r="L408" s="608"/>
      <c r="M408" s="608"/>
      <c r="N408" s="608"/>
      <c r="O408" s="404"/>
      <c r="P408" s="623"/>
    </row>
    <row r="409" spans="1:16" ht="15.75">
      <c r="A409" s="260"/>
      <c r="B409" s="118"/>
      <c r="C409" s="132"/>
      <c r="D409" s="129"/>
      <c r="E409" s="129"/>
      <c r="F409" s="130"/>
      <c r="G409" s="223"/>
      <c r="H409" s="120"/>
      <c r="I409" s="417"/>
      <c r="J409" s="120"/>
      <c r="K409" s="404"/>
      <c r="L409" s="120"/>
      <c r="M409" s="120"/>
      <c r="N409" s="120"/>
      <c r="O409" s="404"/>
      <c r="P409" s="127"/>
    </row>
    <row r="410" spans="1:16" ht="15.75">
      <c r="A410" s="260"/>
      <c r="B410" s="118"/>
      <c r="C410" s="128" t="s">
        <v>136</v>
      </c>
      <c r="D410" s="133"/>
      <c r="E410" s="133"/>
      <c r="F410" s="141"/>
      <c r="G410" s="222"/>
      <c r="H410" s="136"/>
      <c r="I410" s="417"/>
      <c r="J410" s="120"/>
      <c r="K410" s="404"/>
      <c r="L410" s="120"/>
      <c r="M410" s="120"/>
      <c r="N410" s="120"/>
      <c r="O410" s="404"/>
      <c r="P410" s="127"/>
    </row>
    <row r="411" spans="1:16" ht="15.75">
      <c r="A411" s="260"/>
      <c r="B411" s="118"/>
      <c r="C411" s="128"/>
      <c r="D411" s="133"/>
      <c r="E411" s="133"/>
      <c r="F411" s="141"/>
      <c r="G411" s="223"/>
      <c r="H411" s="120"/>
      <c r="I411" s="417"/>
      <c r="J411" s="120"/>
      <c r="K411" s="404"/>
      <c r="L411" s="120"/>
      <c r="M411" s="120"/>
      <c r="N411" s="120"/>
      <c r="O411" s="404"/>
      <c r="P411" s="127"/>
    </row>
    <row r="412" spans="1:16" ht="18">
      <c r="A412" s="260"/>
      <c r="B412" s="118" t="s">
        <v>153</v>
      </c>
      <c r="C412" s="132" t="s">
        <v>316</v>
      </c>
      <c r="D412" s="129"/>
      <c r="E412" s="129"/>
      <c r="F412" s="130"/>
      <c r="G412" s="134" t="s">
        <v>273</v>
      </c>
      <c r="H412" s="120">
        <v>26.11</v>
      </c>
      <c r="I412" s="417">
        <v>358.44</v>
      </c>
      <c r="J412" s="120">
        <f>1110.36+12</f>
        <v>1122.3599999999999</v>
      </c>
      <c r="K412" s="404">
        <v>0</v>
      </c>
      <c r="L412" s="120">
        <f>J412+K412</f>
        <v>1122.3599999999999</v>
      </c>
      <c r="M412" s="120">
        <f>H412*I412</f>
        <v>9358.8683999999994</v>
      </c>
      <c r="N412" s="120">
        <f>H412*J412</f>
        <v>29304.819599999995</v>
      </c>
      <c r="O412" s="404">
        <f>H412*K412</f>
        <v>0</v>
      </c>
      <c r="P412" s="127">
        <f>H412*L412</f>
        <v>29304.819599999995</v>
      </c>
    </row>
    <row r="413" spans="1:16" ht="15.75">
      <c r="A413" s="260"/>
      <c r="B413" s="118"/>
      <c r="C413" s="132"/>
      <c r="D413" s="129"/>
      <c r="E413" s="129"/>
      <c r="F413" s="130"/>
      <c r="G413" s="134"/>
      <c r="H413" s="120"/>
      <c r="I413" s="417"/>
      <c r="J413" s="120"/>
      <c r="K413" s="404"/>
      <c r="L413" s="120"/>
      <c r="M413" s="120"/>
      <c r="N413" s="120"/>
      <c r="O413" s="404"/>
      <c r="P413" s="127"/>
    </row>
    <row r="414" spans="1:16" ht="15.75">
      <c r="A414" s="260"/>
      <c r="B414" s="118" t="s">
        <v>494</v>
      </c>
      <c r="C414" s="125" t="s">
        <v>493</v>
      </c>
      <c r="D414" s="125"/>
      <c r="E414" s="125"/>
      <c r="F414" s="126"/>
      <c r="G414" s="134" t="s">
        <v>141</v>
      </c>
      <c r="H414" s="120">
        <v>48.12</v>
      </c>
      <c r="I414" s="417">
        <v>0</v>
      </c>
      <c r="J414" s="120">
        <v>1110.3599999999999</v>
      </c>
      <c r="K414" s="404"/>
      <c r="L414" s="120">
        <f>J414+K414</f>
        <v>1110.3599999999999</v>
      </c>
      <c r="M414" s="120">
        <f>H414*I414</f>
        <v>0</v>
      </c>
      <c r="N414" s="120">
        <f>H414*J414</f>
        <v>53430.523199999989</v>
      </c>
      <c r="O414" s="404">
        <f>H414*K414</f>
        <v>0</v>
      </c>
      <c r="P414" s="127">
        <f>H414*L414</f>
        <v>53430.523199999989</v>
      </c>
    </row>
    <row r="415" spans="1:16" ht="15.75">
      <c r="A415" s="260"/>
      <c r="B415" s="118"/>
      <c r="C415" s="132"/>
      <c r="D415" s="129"/>
      <c r="E415" s="129"/>
      <c r="F415" s="130"/>
      <c r="G415" s="223"/>
      <c r="H415" s="120"/>
      <c r="I415" s="417"/>
      <c r="J415" s="120"/>
      <c r="K415" s="404"/>
      <c r="L415" s="120">
        <f t="shared" ref="L415:L452" si="83">J415+K415</f>
        <v>0</v>
      </c>
      <c r="M415" s="120">
        <f t="shared" ref="M415:M452" si="84">H415*I415</f>
        <v>0</v>
      </c>
      <c r="N415" s="120">
        <f t="shared" ref="N415:N452" si="85">H415*J415</f>
        <v>0</v>
      </c>
      <c r="O415" s="404">
        <f t="shared" ref="O415:O452" si="86">H415*K415</f>
        <v>0</v>
      </c>
      <c r="P415" s="127">
        <f t="shared" ref="P415:P452" si="87">H415*L415</f>
        <v>0</v>
      </c>
    </row>
    <row r="416" spans="1:16" ht="15.75">
      <c r="A416" s="260"/>
      <c r="B416" s="118" t="s">
        <v>154</v>
      </c>
      <c r="C416" s="132" t="s">
        <v>98</v>
      </c>
      <c r="D416" s="129"/>
      <c r="E416" s="129"/>
      <c r="F416" s="130"/>
      <c r="G416" s="223"/>
      <c r="H416" s="120"/>
      <c r="I416" s="417"/>
      <c r="J416" s="120"/>
      <c r="K416" s="404"/>
      <c r="L416" s="120">
        <f t="shared" si="83"/>
        <v>0</v>
      </c>
      <c r="M416" s="120">
        <f t="shared" si="84"/>
        <v>0</v>
      </c>
      <c r="N416" s="120">
        <f t="shared" si="85"/>
        <v>0</v>
      </c>
      <c r="O416" s="404">
        <f t="shared" si="86"/>
        <v>0</v>
      </c>
      <c r="P416" s="127">
        <f t="shared" si="87"/>
        <v>0</v>
      </c>
    </row>
    <row r="417" spans="1:16" ht="18">
      <c r="A417" s="260"/>
      <c r="B417" s="118"/>
      <c r="C417" s="132" t="s">
        <v>137</v>
      </c>
      <c r="D417" s="129"/>
      <c r="E417" s="129"/>
      <c r="F417" s="130"/>
      <c r="G417" s="134" t="s">
        <v>273</v>
      </c>
      <c r="H417" s="120">
        <v>34.11</v>
      </c>
      <c r="I417" s="417">
        <v>54.72</v>
      </c>
      <c r="J417" s="120"/>
      <c r="K417" s="404"/>
      <c r="L417" s="120">
        <f t="shared" si="83"/>
        <v>0</v>
      </c>
      <c r="M417" s="120">
        <f t="shared" si="84"/>
        <v>1866.4992</v>
      </c>
      <c r="N417" s="120">
        <f t="shared" si="85"/>
        <v>0</v>
      </c>
      <c r="O417" s="404">
        <f t="shared" si="86"/>
        <v>0</v>
      </c>
      <c r="P417" s="127">
        <f t="shared" si="87"/>
        <v>0</v>
      </c>
    </row>
    <row r="418" spans="1:16" ht="15.75">
      <c r="A418" s="260"/>
      <c r="B418" s="118"/>
      <c r="C418" s="132"/>
      <c r="D418" s="129"/>
      <c r="E418" s="129"/>
      <c r="F418" s="130"/>
      <c r="G418" s="134"/>
      <c r="H418" s="120"/>
      <c r="I418" s="417"/>
      <c r="J418" s="120"/>
      <c r="K418" s="404"/>
      <c r="L418" s="120">
        <f t="shared" si="83"/>
        <v>0</v>
      </c>
      <c r="M418" s="120">
        <f t="shared" si="84"/>
        <v>0</v>
      </c>
      <c r="N418" s="120">
        <f t="shared" si="85"/>
        <v>0</v>
      </c>
      <c r="O418" s="404">
        <f t="shared" si="86"/>
        <v>0</v>
      </c>
      <c r="P418" s="127">
        <f t="shared" si="87"/>
        <v>0</v>
      </c>
    </row>
    <row r="419" spans="1:16" ht="18">
      <c r="A419" s="260"/>
      <c r="B419" s="118" t="s">
        <v>496</v>
      </c>
      <c r="C419" s="132" t="s">
        <v>495</v>
      </c>
      <c r="D419" s="129"/>
      <c r="E419" s="129"/>
      <c r="F419" s="130"/>
      <c r="G419" s="134" t="s">
        <v>273</v>
      </c>
      <c r="H419" s="120">
        <v>34.11</v>
      </c>
      <c r="I419" s="417">
        <v>0</v>
      </c>
      <c r="J419" s="120"/>
      <c r="K419" s="404"/>
      <c r="L419" s="120">
        <f t="shared" si="83"/>
        <v>0</v>
      </c>
      <c r="M419" s="120">
        <f t="shared" si="84"/>
        <v>0</v>
      </c>
      <c r="N419" s="120">
        <f t="shared" si="85"/>
        <v>0</v>
      </c>
      <c r="O419" s="404">
        <f t="shared" si="86"/>
        <v>0</v>
      </c>
      <c r="P419" s="127">
        <f t="shared" si="87"/>
        <v>0</v>
      </c>
    </row>
    <row r="420" spans="1:16" ht="15.75">
      <c r="A420" s="260"/>
      <c r="B420" s="118"/>
      <c r="C420" s="132"/>
      <c r="D420" s="129"/>
      <c r="E420" s="129"/>
      <c r="F420" s="130"/>
      <c r="G420" s="399"/>
      <c r="H420" s="120"/>
      <c r="I420" s="417"/>
      <c r="J420" s="120"/>
      <c r="K420" s="404"/>
      <c r="L420" s="120"/>
      <c r="M420" s="120"/>
      <c r="N420" s="120">
        <f t="shared" si="85"/>
        <v>0</v>
      </c>
      <c r="O420" s="404">
        <f t="shared" si="86"/>
        <v>0</v>
      </c>
      <c r="P420" s="127">
        <f t="shared" si="87"/>
        <v>0</v>
      </c>
    </row>
    <row r="421" spans="1:16" ht="18">
      <c r="A421" s="260"/>
      <c r="B421" s="118" t="s">
        <v>496</v>
      </c>
      <c r="C421" s="1413" t="s">
        <v>768</v>
      </c>
      <c r="D421" s="1414"/>
      <c r="E421" s="1414"/>
      <c r="F421" s="1415"/>
      <c r="G421" s="399" t="s">
        <v>273</v>
      </c>
      <c r="H421" s="120"/>
      <c r="I421" s="417"/>
      <c r="J421" s="120"/>
      <c r="K421" s="404"/>
      <c r="L421" s="120"/>
      <c r="M421" s="120"/>
      <c r="N421" s="120">
        <f t="shared" si="85"/>
        <v>0</v>
      </c>
      <c r="O421" s="404">
        <f t="shared" si="86"/>
        <v>0</v>
      </c>
      <c r="P421" s="127">
        <f t="shared" si="87"/>
        <v>0</v>
      </c>
    </row>
    <row r="422" spans="1:16" ht="15.75">
      <c r="A422" s="260"/>
      <c r="B422" s="118"/>
      <c r="C422" s="1413" t="s">
        <v>769</v>
      </c>
      <c r="D422" s="1414"/>
      <c r="E422" s="1414"/>
      <c r="F422" s="1415"/>
      <c r="G422" s="399"/>
      <c r="H422" s="404">
        <v>34.11</v>
      </c>
      <c r="I422" s="417">
        <v>0</v>
      </c>
      <c r="J422" s="120">
        <v>427.15</v>
      </c>
      <c r="K422" s="404">
        <f>'SDB Gates 1 2 3 and 4'!J20</f>
        <v>0</v>
      </c>
      <c r="L422" s="120">
        <f>J422+K422</f>
        <v>427.15</v>
      </c>
      <c r="M422" s="120">
        <v>0</v>
      </c>
      <c r="N422" s="120">
        <f t="shared" si="85"/>
        <v>14570.086499999999</v>
      </c>
      <c r="O422" s="404">
        <f t="shared" si="86"/>
        <v>0</v>
      </c>
      <c r="P422" s="127">
        <f t="shared" si="87"/>
        <v>14570.086499999999</v>
      </c>
    </row>
    <row r="423" spans="1:16" ht="15.75">
      <c r="A423" s="260"/>
      <c r="B423" s="118"/>
      <c r="C423" s="132"/>
      <c r="D423" s="129"/>
      <c r="E423" s="129"/>
      <c r="F423" s="130"/>
      <c r="G423" s="223"/>
      <c r="H423" s="120"/>
      <c r="I423" s="417"/>
      <c r="J423" s="120"/>
      <c r="K423" s="404"/>
      <c r="L423" s="120">
        <f t="shared" si="83"/>
        <v>0</v>
      </c>
      <c r="M423" s="120">
        <f t="shared" si="84"/>
        <v>0</v>
      </c>
      <c r="N423" s="120">
        <f t="shared" si="85"/>
        <v>0</v>
      </c>
      <c r="O423" s="404">
        <f t="shared" si="86"/>
        <v>0</v>
      </c>
      <c r="P423" s="127">
        <f t="shared" si="87"/>
        <v>0</v>
      </c>
    </row>
    <row r="424" spans="1:16" ht="15.75">
      <c r="A424" s="260"/>
      <c r="B424" s="118" t="s">
        <v>155</v>
      </c>
      <c r="C424" s="132" t="s">
        <v>100</v>
      </c>
      <c r="D424" s="129"/>
      <c r="E424" s="129"/>
      <c r="F424" s="130"/>
      <c r="G424" s="223"/>
      <c r="H424" s="120"/>
      <c r="I424" s="417"/>
      <c r="J424" s="120"/>
      <c r="K424" s="404"/>
      <c r="L424" s="120">
        <f t="shared" si="83"/>
        <v>0</v>
      </c>
      <c r="M424" s="120">
        <f t="shared" si="84"/>
        <v>0</v>
      </c>
      <c r="N424" s="120">
        <f t="shared" si="85"/>
        <v>0</v>
      </c>
      <c r="O424" s="404">
        <f t="shared" si="86"/>
        <v>0</v>
      </c>
      <c r="P424" s="127">
        <f t="shared" si="87"/>
        <v>0</v>
      </c>
    </row>
    <row r="425" spans="1:16" ht="18">
      <c r="A425" s="260"/>
      <c r="B425" s="144"/>
      <c r="C425" s="132" t="s">
        <v>108</v>
      </c>
      <c r="D425" s="129"/>
      <c r="E425" s="129"/>
      <c r="F425" s="130"/>
      <c r="G425" s="134" t="s">
        <v>273</v>
      </c>
      <c r="H425" s="120">
        <v>34.69</v>
      </c>
      <c r="I425" s="417">
        <v>477.92</v>
      </c>
      <c r="J425" s="120">
        <f>3039.48+12</f>
        <v>3051.48</v>
      </c>
      <c r="K425" s="404">
        <v>0</v>
      </c>
      <c r="L425" s="120">
        <f t="shared" si="83"/>
        <v>3051.48</v>
      </c>
      <c r="M425" s="120">
        <f t="shared" si="84"/>
        <v>16579.0448</v>
      </c>
      <c r="N425" s="120">
        <f t="shared" si="85"/>
        <v>105855.8412</v>
      </c>
      <c r="O425" s="404">
        <f t="shared" si="86"/>
        <v>0</v>
      </c>
      <c r="P425" s="127">
        <f t="shared" si="87"/>
        <v>105855.8412</v>
      </c>
    </row>
    <row r="426" spans="1:16" ht="15.75">
      <c r="A426" s="260"/>
      <c r="B426" s="144"/>
      <c r="C426" s="128"/>
      <c r="D426" s="133"/>
      <c r="E426" s="133"/>
      <c r="F426" s="130"/>
      <c r="G426" s="223"/>
      <c r="H426" s="120"/>
      <c r="I426" s="417"/>
      <c r="J426" s="120"/>
      <c r="K426" s="404"/>
      <c r="L426" s="120">
        <f t="shared" si="83"/>
        <v>0</v>
      </c>
      <c r="M426" s="120">
        <f t="shared" si="84"/>
        <v>0</v>
      </c>
      <c r="N426" s="120">
        <f t="shared" si="85"/>
        <v>0</v>
      </c>
      <c r="O426" s="404">
        <f t="shared" si="86"/>
        <v>0</v>
      </c>
      <c r="P426" s="127">
        <f t="shared" si="87"/>
        <v>0</v>
      </c>
    </row>
    <row r="427" spans="1:16" ht="15.75">
      <c r="A427" s="260"/>
      <c r="B427" s="118"/>
      <c r="C427" s="133" t="s">
        <v>320</v>
      </c>
      <c r="D427" s="141"/>
      <c r="E427" s="337"/>
      <c r="F427" s="141"/>
      <c r="G427" s="221"/>
      <c r="H427" s="136"/>
      <c r="I427" s="417"/>
      <c r="J427" s="120"/>
      <c r="K427" s="404"/>
      <c r="L427" s="120">
        <f t="shared" si="83"/>
        <v>0</v>
      </c>
      <c r="M427" s="120">
        <f t="shared" si="84"/>
        <v>0</v>
      </c>
      <c r="N427" s="120">
        <f t="shared" si="85"/>
        <v>0</v>
      </c>
      <c r="O427" s="404">
        <f t="shared" si="86"/>
        <v>0</v>
      </c>
      <c r="P427" s="127">
        <f t="shared" si="87"/>
        <v>0</v>
      </c>
    </row>
    <row r="428" spans="1:16" ht="15.75">
      <c r="A428" s="260"/>
      <c r="B428" s="118" t="s">
        <v>255</v>
      </c>
      <c r="C428" s="132" t="s">
        <v>230</v>
      </c>
      <c r="D428" s="129"/>
      <c r="E428" s="133"/>
      <c r="F428" s="141"/>
      <c r="G428" s="221"/>
      <c r="H428" s="136"/>
      <c r="I428" s="417"/>
      <c r="J428" s="120"/>
      <c r="K428" s="404"/>
      <c r="L428" s="120">
        <f t="shared" si="83"/>
        <v>0</v>
      </c>
      <c r="M428" s="120">
        <f t="shared" si="84"/>
        <v>0</v>
      </c>
      <c r="N428" s="120">
        <f t="shared" si="85"/>
        <v>0</v>
      </c>
      <c r="O428" s="404">
        <f t="shared" si="86"/>
        <v>0</v>
      </c>
      <c r="P428" s="127">
        <f t="shared" si="87"/>
        <v>0</v>
      </c>
    </row>
    <row r="429" spans="1:16" ht="18">
      <c r="A429" s="260"/>
      <c r="B429" s="118"/>
      <c r="C429" s="132" t="s">
        <v>274</v>
      </c>
      <c r="D429" s="129"/>
      <c r="E429" s="133"/>
      <c r="F429" s="141"/>
      <c r="G429" s="221"/>
      <c r="H429" s="136"/>
      <c r="I429" s="417"/>
      <c r="J429" s="120"/>
      <c r="K429" s="404"/>
      <c r="L429" s="120">
        <f t="shared" si="83"/>
        <v>0</v>
      </c>
      <c r="M429" s="120">
        <f t="shared" si="84"/>
        <v>0</v>
      </c>
      <c r="N429" s="120">
        <f t="shared" si="85"/>
        <v>0</v>
      </c>
      <c r="O429" s="404">
        <f t="shared" si="86"/>
        <v>0</v>
      </c>
      <c r="P429" s="127">
        <f t="shared" si="87"/>
        <v>0</v>
      </c>
    </row>
    <row r="430" spans="1:16" ht="18">
      <c r="A430" s="260"/>
      <c r="B430" s="118"/>
      <c r="C430" s="132" t="s">
        <v>231</v>
      </c>
      <c r="D430" s="129"/>
      <c r="E430" s="133"/>
      <c r="F430" s="141"/>
      <c r="G430" s="134" t="s">
        <v>275</v>
      </c>
      <c r="H430" s="120">
        <v>35.47</v>
      </c>
      <c r="I430" s="417">
        <v>182.4</v>
      </c>
      <c r="J430" s="120">
        <f>188.32+8</f>
        <v>196.32</v>
      </c>
      <c r="K430" s="404">
        <v>0</v>
      </c>
      <c r="L430" s="120">
        <f t="shared" si="83"/>
        <v>196.32</v>
      </c>
      <c r="M430" s="120">
        <f t="shared" si="84"/>
        <v>6469.7280000000001</v>
      </c>
      <c r="N430" s="120">
        <f t="shared" si="85"/>
        <v>6963.4703999999992</v>
      </c>
      <c r="O430" s="404">
        <f t="shared" si="86"/>
        <v>0</v>
      </c>
      <c r="P430" s="127">
        <f t="shared" si="87"/>
        <v>6963.4703999999992</v>
      </c>
    </row>
    <row r="431" spans="1:16" ht="15.75">
      <c r="A431" s="260"/>
      <c r="B431" s="118"/>
      <c r="C431" s="132"/>
      <c r="D431" s="129"/>
      <c r="E431" s="133"/>
      <c r="F431" s="141"/>
      <c r="G431" s="221"/>
      <c r="H431" s="136"/>
      <c r="I431" s="422"/>
      <c r="J431" s="120"/>
      <c r="K431" s="404"/>
      <c r="L431" s="120">
        <f t="shared" si="83"/>
        <v>0</v>
      </c>
      <c r="M431" s="120">
        <f t="shared" si="84"/>
        <v>0</v>
      </c>
      <c r="N431" s="120">
        <f t="shared" si="85"/>
        <v>0</v>
      </c>
      <c r="O431" s="404">
        <f t="shared" si="86"/>
        <v>0</v>
      </c>
      <c r="P431" s="127">
        <f t="shared" si="87"/>
        <v>0</v>
      </c>
    </row>
    <row r="432" spans="1:16" ht="15.75">
      <c r="A432" s="260"/>
      <c r="B432" s="118" t="s">
        <v>256</v>
      </c>
      <c r="C432" s="132" t="s">
        <v>233</v>
      </c>
      <c r="D432" s="129"/>
      <c r="E432" s="133"/>
      <c r="F432" s="141"/>
      <c r="G432" s="221"/>
      <c r="H432" s="120"/>
      <c r="I432" s="417"/>
      <c r="J432" s="120"/>
      <c r="K432" s="404"/>
      <c r="L432" s="120">
        <f t="shared" si="83"/>
        <v>0</v>
      </c>
      <c r="M432" s="120">
        <f t="shared" si="84"/>
        <v>0</v>
      </c>
      <c r="N432" s="120">
        <f t="shared" si="85"/>
        <v>0</v>
      </c>
      <c r="O432" s="404">
        <f t="shared" si="86"/>
        <v>0</v>
      </c>
      <c r="P432" s="127">
        <f t="shared" si="87"/>
        <v>0</v>
      </c>
    </row>
    <row r="433" spans="1:17" ht="15.75">
      <c r="A433" s="260"/>
      <c r="B433" s="118"/>
      <c r="C433" s="132" t="s">
        <v>234</v>
      </c>
      <c r="D433" s="129"/>
      <c r="E433" s="133"/>
      <c r="F433" s="141"/>
      <c r="G433" s="221"/>
      <c r="H433" s="120"/>
      <c r="I433" s="417"/>
      <c r="J433" s="120"/>
      <c r="K433" s="404"/>
      <c r="L433" s="120">
        <f t="shared" si="83"/>
        <v>0</v>
      </c>
      <c r="M433" s="120">
        <f t="shared" si="84"/>
        <v>0</v>
      </c>
      <c r="N433" s="120">
        <f t="shared" si="85"/>
        <v>0</v>
      </c>
      <c r="O433" s="404">
        <f t="shared" si="86"/>
        <v>0</v>
      </c>
      <c r="P433" s="127">
        <f t="shared" si="87"/>
        <v>0</v>
      </c>
    </row>
    <row r="434" spans="1:17" ht="18">
      <c r="A434" s="260"/>
      <c r="B434" s="118"/>
      <c r="C434" s="132" t="s">
        <v>236</v>
      </c>
      <c r="D434" s="129"/>
      <c r="E434" s="133"/>
      <c r="F434" s="141"/>
      <c r="G434" s="134" t="s">
        <v>273</v>
      </c>
      <c r="H434" s="120">
        <v>1434.18</v>
      </c>
      <c r="I434" s="417">
        <v>72.959999999999994</v>
      </c>
      <c r="J434" s="120">
        <f>67.84+3.2</f>
        <v>71.040000000000006</v>
      </c>
      <c r="K434" s="404">
        <v>0</v>
      </c>
      <c r="L434" s="120">
        <f t="shared" si="83"/>
        <v>71.040000000000006</v>
      </c>
      <c r="M434" s="120">
        <f t="shared" si="84"/>
        <v>104637.77279999999</v>
      </c>
      <c r="N434" s="120">
        <f t="shared" si="85"/>
        <v>101884.14720000001</v>
      </c>
      <c r="O434" s="404">
        <f t="shared" si="86"/>
        <v>0</v>
      </c>
      <c r="P434" s="127">
        <f t="shared" si="87"/>
        <v>101884.14720000001</v>
      </c>
    </row>
    <row r="435" spans="1:17" ht="18">
      <c r="A435" s="260"/>
      <c r="B435" s="118"/>
      <c r="C435" s="132" t="s">
        <v>261</v>
      </c>
      <c r="D435" s="129"/>
      <c r="E435" s="133"/>
      <c r="F435" s="141"/>
      <c r="G435" s="134" t="s">
        <v>273</v>
      </c>
      <c r="H435" s="120">
        <v>1434.18</v>
      </c>
      <c r="I435" s="417">
        <v>77.17</v>
      </c>
      <c r="J435" s="120">
        <f>87.32+3.55</f>
        <v>90.86999999999999</v>
      </c>
      <c r="K435" s="404">
        <v>0</v>
      </c>
      <c r="L435" s="120">
        <f t="shared" si="83"/>
        <v>90.86999999999999</v>
      </c>
      <c r="M435" s="120">
        <f t="shared" si="84"/>
        <v>110675.67060000001</v>
      </c>
      <c r="N435" s="120">
        <f t="shared" si="85"/>
        <v>130323.93659999999</v>
      </c>
      <c r="O435" s="404">
        <f t="shared" si="86"/>
        <v>0</v>
      </c>
      <c r="P435" s="127">
        <f t="shared" si="87"/>
        <v>130323.93659999999</v>
      </c>
    </row>
    <row r="436" spans="1:17" ht="15.75">
      <c r="A436" s="260"/>
      <c r="B436" s="118"/>
      <c r="C436" s="132"/>
      <c r="D436" s="129"/>
      <c r="E436" s="133"/>
      <c r="F436" s="141"/>
      <c r="G436" s="221"/>
      <c r="H436" s="120"/>
      <c r="I436" s="417"/>
      <c r="J436" s="120"/>
      <c r="K436" s="404"/>
      <c r="L436" s="120">
        <f t="shared" si="83"/>
        <v>0</v>
      </c>
      <c r="M436" s="120">
        <f t="shared" si="84"/>
        <v>0</v>
      </c>
      <c r="N436" s="120">
        <f t="shared" si="85"/>
        <v>0</v>
      </c>
      <c r="O436" s="404">
        <f t="shared" si="86"/>
        <v>0</v>
      </c>
      <c r="P436" s="127">
        <f t="shared" si="87"/>
        <v>0</v>
      </c>
    </row>
    <row r="437" spans="1:17" ht="15.75">
      <c r="A437" s="260"/>
      <c r="B437" s="118" t="s">
        <v>257</v>
      </c>
      <c r="C437" s="132" t="s">
        <v>239</v>
      </c>
      <c r="D437" s="129"/>
      <c r="E437" s="133"/>
      <c r="F437" s="141"/>
      <c r="G437" s="221"/>
      <c r="H437" s="120"/>
      <c r="I437" s="417"/>
      <c r="J437" s="120"/>
      <c r="K437" s="404"/>
      <c r="L437" s="120">
        <f t="shared" si="83"/>
        <v>0</v>
      </c>
      <c r="M437" s="120">
        <f t="shared" si="84"/>
        <v>0</v>
      </c>
      <c r="N437" s="120">
        <f t="shared" si="85"/>
        <v>0</v>
      </c>
      <c r="O437" s="404">
        <f t="shared" si="86"/>
        <v>0</v>
      </c>
      <c r="P437" s="127">
        <f t="shared" si="87"/>
        <v>0</v>
      </c>
    </row>
    <row r="438" spans="1:17" ht="15.75">
      <c r="A438" s="260"/>
      <c r="B438" s="118"/>
      <c r="C438" s="132" t="s">
        <v>240</v>
      </c>
      <c r="D438" s="129"/>
      <c r="E438" s="133"/>
      <c r="F438" s="141"/>
      <c r="G438" s="221"/>
      <c r="H438" s="120"/>
      <c r="I438" s="417"/>
      <c r="J438" s="120"/>
      <c r="K438" s="404"/>
      <c r="L438" s="120">
        <f t="shared" si="83"/>
        <v>0</v>
      </c>
      <c r="M438" s="120">
        <f t="shared" si="84"/>
        <v>0</v>
      </c>
      <c r="N438" s="120">
        <f t="shared" si="85"/>
        <v>0</v>
      </c>
      <c r="O438" s="404">
        <f t="shared" si="86"/>
        <v>0</v>
      </c>
      <c r="P438" s="127">
        <f t="shared" si="87"/>
        <v>0</v>
      </c>
    </row>
    <row r="439" spans="1:17" ht="18">
      <c r="A439" s="260"/>
      <c r="B439" s="118"/>
      <c r="C439" s="132" t="s">
        <v>242</v>
      </c>
      <c r="D439" s="129"/>
      <c r="E439" s="133"/>
      <c r="F439" s="141"/>
      <c r="G439" s="134" t="s">
        <v>275</v>
      </c>
      <c r="H439" s="120">
        <v>58.19</v>
      </c>
      <c r="I439" s="417">
        <v>49.76</v>
      </c>
      <c r="J439" s="120">
        <f>73.52+7.29</f>
        <v>80.81</v>
      </c>
      <c r="K439" s="404">
        <v>0</v>
      </c>
      <c r="L439" s="120">
        <f t="shared" si="83"/>
        <v>80.81</v>
      </c>
      <c r="M439" s="120">
        <f t="shared" si="84"/>
        <v>2895.5343999999996</v>
      </c>
      <c r="N439" s="120">
        <f t="shared" si="85"/>
        <v>4702.3338999999996</v>
      </c>
      <c r="O439" s="404">
        <f t="shared" si="86"/>
        <v>0</v>
      </c>
      <c r="P439" s="127">
        <f t="shared" si="87"/>
        <v>4702.3338999999996</v>
      </c>
    </row>
    <row r="440" spans="1:17" ht="18">
      <c r="A440" s="260"/>
      <c r="B440" s="118"/>
      <c r="C440" s="132" t="s">
        <v>261</v>
      </c>
      <c r="D440" s="129"/>
      <c r="E440" s="133"/>
      <c r="F440" s="141"/>
      <c r="G440" s="134" t="s">
        <v>275</v>
      </c>
      <c r="H440" s="120">
        <v>58.19</v>
      </c>
      <c r="I440" s="417">
        <v>514.48</v>
      </c>
      <c r="J440" s="120">
        <f>632.88+13.67</f>
        <v>646.54999999999995</v>
      </c>
      <c r="K440" s="404">
        <v>0</v>
      </c>
      <c r="L440" s="120">
        <f t="shared" si="83"/>
        <v>646.54999999999995</v>
      </c>
      <c r="M440" s="120">
        <f t="shared" si="84"/>
        <v>29937.591199999999</v>
      </c>
      <c r="N440" s="120">
        <f t="shared" si="85"/>
        <v>37622.744499999993</v>
      </c>
      <c r="O440" s="404">
        <f t="shared" si="86"/>
        <v>0</v>
      </c>
      <c r="P440" s="127">
        <f t="shared" si="87"/>
        <v>37622.744499999993</v>
      </c>
      <c r="Q440" s="328">
        <f>Q13+O590</f>
        <v>282142.69200000004</v>
      </c>
    </row>
    <row r="441" spans="1:17" ht="18">
      <c r="A441" s="260"/>
      <c r="B441" s="118"/>
      <c r="C441" s="132"/>
      <c r="D441" s="129"/>
      <c r="E441" s="133"/>
      <c r="F441" s="141"/>
      <c r="G441" s="221"/>
      <c r="H441" s="120"/>
      <c r="I441" s="417"/>
      <c r="J441" s="120"/>
      <c r="K441" s="404"/>
      <c r="L441" s="120">
        <f t="shared" si="83"/>
        <v>0</v>
      </c>
      <c r="M441" s="120">
        <f t="shared" si="84"/>
        <v>0</v>
      </c>
      <c r="N441" s="120">
        <f t="shared" si="85"/>
        <v>0</v>
      </c>
      <c r="O441" s="404">
        <f t="shared" si="86"/>
        <v>0</v>
      </c>
      <c r="P441" s="127">
        <f t="shared" si="87"/>
        <v>0</v>
      </c>
      <c r="Q441" s="1170">
        <f>Q13+O459</f>
        <v>70535.67300000001</v>
      </c>
    </row>
    <row r="442" spans="1:17" ht="15.75">
      <c r="A442" s="260"/>
      <c r="B442" s="118" t="s">
        <v>258</v>
      </c>
      <c r="C442" s="132" t="s">
        <v>243</v>
      </c>
      <c r="D442" s="129"/>
      <c r="E442" s="133"/>
      <c r="F442" s="141"/>
      <c r="G442" s="221"/>
      <c r="H442" s="120"/>
      <c r="I442" s="417"/>
      <c r="J442" s="120"/>
      <c r="K442" s="404"/>
      <c r="L442" s="120">
        <f t="shared" si="83"/>
        <v>0</v>
      </c>
      <c r="M442" s="120">
        <f t="shared" si="84"/>
        <v>0</v>
      </c>
      <c r="N442" s="120">
        <f t="shared" si="85"/>
        <v>0</v>
      </c>
      <c r="O442" s="404">
        <f t="shared" si="86"/>
        <v>0</v>
      </c>
      <c r="P442" s="127">
        <f t="shared" si="87"/>
        <v>0</v>
      </c>
    </row>
    <row r="443" spans="1:17" ht="15.75">
      <c r="A443" s="260"/>
      <c r="B443" s="118"/>
      <c r="C443" s="132" t="s">
        <v>244</v>
      </c>
      <c r="D443" s="129"/>
      <c r="E443" s="133"/>
      <c r="F443" s="141"/>
      <c r="G443" s="221"/>
      <c r="H443" s="120"/>
      <c r="I443" s="417"/>
      <c r="J443" s="120"/>
      <c r="K443" s="404"/>
      <c r="L443" s="120">
        <f t="shared" si="83"/>
        <v>0</v>
      </c>
      <c r="M443" s="120">
        <f t="shared" si="84"/>
        <v>0</v>
      </c>
      <c r="N443" s="120">
        <f t="shared" si="85"/>
        <v>0</v>
      </c>
      <c r="O443" s="404">
        <f t="shared" si="86"/>
        <v>0</v>
      </c>
      <c r="P443" s="127">
        <f t="shared" si="87"/>
        <v>0</v>
      </c>
    </row>
    <row r="444" spans="1:17" ht="15.75">
      <c r="A444" s="260"/>
      <c r="B444" s="118"/>
      <c r="C444" s="132" t="s">
        <v>245</v>
      </c>
      <c r="D444" s="129"/>
      <c r="E444" s="133"/>
      <c r="F444" s="141"/>
      <c r="G444" s="134" t="s">
        <v>103</v>
      </c>
      <c r="H444" s="120">
        <v>2.02</v>
      </c>
      <c r="I444" s="417">
        <v>7153.37</v>
      </c>
      <c r="J444" s="120">
        <v>7627.21</v>
      </c>
      <c r="K444" s="404"/>
      <c r="L444" s="120">
        <f t="shared" si="83"/>
        <v>7627.21</v>
      </c>
      <c r="M444" s="120">
        <f t="shared" si="84"/>
        <v>14449.8074</v>
      </c>
      <c r="N444" s="120">
        <f t="shared" si="85"/>
        <v>15406.9642</v>
      </c>
      <c r="O444" s="404">
        <f t="shared" si="86"/>
        <v>0</v>
      </c>
      <c r="P444" s="127">
        <f t="shared" si="87"/>
        <v>15406.9642</v>
      </c>
    </row>
    <row r="445" spans="1:17" ht="15.75">
      <c r="A445" s="260"/>
      <c r="B445" s="118"/>
      <c r="C445" s="132" t="s">
        <v>262</v>
      </c>
      <c r="D445" s="129"/>
      <c r="E445" s="133"/>
      <c r="F445" s="141"/>
      <c r="G445" s="134" t="s">
        <v>103</v>
      </c>
      <c r="H445" s="120">
        <v>2.02</v>
      </c>
      <c r="I445" s="417">
        <v>12401.91</v>
      </c>
      <c r="J445" s="120">
        <v>13491.5</v>
      </c>
      <c r="K445" s="404"/>
      <c r="L445" s="120">
        <f t="shared" si="83"/>
        <v>13491.5</v>
      </c>
      <c r="M445" s="120">
        <f t="shared" si="84"/>
        <v>25051.858199999999</v>
      </c>
      <c r="N445" s="120">
        <f t="shared" si="85"/>
        <v>27252.83</v>
      </c>
      <c r="O445" s="404">
        <f t="shared" si="86"/>
        <v>0</v>
      </c>
      <c r="P445" s="127">
        <f t="shared" si="87"/>
        <v>27252.83</v>
      </c>
    </row>
    <row r="446" spans="1:17" ht="15.75">
      <c r="A446" s="260"/>
      <c r="B446" s="118"/>
      <c r="C446" s="132" t="s">
        <v>246</v>
      </c>
      <c r="D446" s="129"/>
      <c r="E446" s="133"/>
      <c r="F446" s="141"/>
      <c r="G446" s="134" t="s">
        <v>103</v>
      </c>
      <c r="H446" s="120">
        <v>2.02</v>
      </c>
      <c r="I446" s="417">
        <v>29.82</v>
      </c>
      <c r="J446" s="120">
        <v>50.53</v>
      </c>
      <c r="K446" s="404"/>
      <c r="L446" s="120">
        <f t="shared" si="83"/>
        <v>50.53</v>
      </c>
      <c r="M446" s="120">
        <f t="shared" si="84"/>
        <v>60.236400000000003</v>
      </c>
      <c r="N446" s="120">
        <f t="shared" si="85"/>
        <v>102.0706</v>
      </c>
      <c r="O446" s="404">
        <f t="shared" si="86"/>
        <v>0</v>
      </c>
      <c r="P446" s="127">
        <f t="shared" si="87"/>
        <v>102.0706</v>
      </c>
    </row>
    <row r="447" spans="1:17" ht="15.75">
      <c r="A447" s="260"/>
      <c r="B447" s="118"/>
      <c r="C447" s="132"/>
      <c r="D447" s="129"/>
      <c r="E447" s="133"/>
      <c r="F447" s="141"/>
      <c r="G447" s="134"/>
      <c r="H447" s="120"/>
      <c r="I447" s="417"/>
      <c r="J447" s="120"/>
      <c r="K447" s="404"/>
      <c r="L447" s="120">
        <f t="shared" si="83"/>
        <v>0</v>
      </c>
      <c r="M447" s="120">
        <f t="shared" si="84"/>
        <v>0</v>
      </c>
      <c r="N447" s="120">
        <f t="shared" si="85"/>
        <v>0</v>
      </c>
      <c r="O447" s="404">
        <f t="shared" si="86"/>
        <v>0</v>
      </c>
      <c r="P447" s="127">
        <f t="shared" si="87"/>
        <v>0</v>
      </c>
    </row>
    <row r="448" spans="1:17" ht="15.75">
      <c r="A448" s="260"/>
      <c r="B448" s="118" t="s">
        <v>259</v>
      </c>
      <c r="C448" s="132" t="s">
        <v>247</v>
      </c>
      <c r="D448" s="129"/>
      <c r="E448" s="133"/>
      <c r="F448" s="141"/>
      <c r="G448" s="221"/>
      <c r="H448" s="120"/>
      <c r="I448" s="417"/>
      <c r="J448" s="120"/>
      <c r="K448" s="404"/>
      <c r="L448" s="120">
        <f t="shared" si="83"/>
        <v>0</v>
      </c>
      <c r="M448" s="120">
        <f t="shared" si="84"/>
        <v>0</v>
      </c>
      <c r="N448" s="120">
        <f t="shared" si="85"/>
        <v>0</v>
      </c>
      <c r="O448" s="404">
        <f t="shared" si="86"/>
        <v>0</v>
      </c>
      <c r="P448" s="127">
        <f t="shared" si="87"/>
        <v>0</v>
      </c>
    </row>
    <row r="449" spans="1:16" ht="15.75">
      <c r="A449" s="260"/>
      <c r="B449" s="118"/>
      <c r="C449" s="132" t="s">
        <v>248</v>
      </c>
      <c r="D449" s="129"/>
      <c r="E449" s="133"/>
      <c r="F449" s="141"/>
      <c r="G449" s="134" t="s">
        <v>254</v>
      </c>
      <c r="H449" s="120">
        <v>35</v>
      </c>
      <c r="I449" s="417">
        <v>46.2</v>
      </c>
      <c r="J449" s="120">
        <v>204.8</v>
      </c>
      <c r="K449" s="404"/>
      <c r="L449" s="120">
        <f t="shared" si="83"/>
        <v>204.8</v>
      </c>
      <c r="M449" s="120">
        <f t="shared" si="84"/>
        <v>1617</v>
      </c>
      <c r="N449" s="120">
        <f t="shared" si="85"/>
        <v>7168</v>
      </c>
      <c r="O449" s="404">
        <f t="shared" si="86"/>
        <v>0</v>
      </c>
      <c r="P449" s="127">
        <f t="shared" si="87"/>
        <v>7168</v>
      </c>
    </row>
    <row r="450" spans="1:16" ht="15.75">
      <c r="A450" s="260"/>
      <c r="B450" s="118"/>
      <c r="C450" s="132"/>
      <c r="D450" s="129"/>
      <c r="E450" s="133"/>
      <c r="F450" s="141"/>
      <c r="G450" s="221"/>
      <c r="H450" s="120"/>
      <c r="I450" s="417"/>
      <c r="J450" s="120"/>
      <c r="K450" s="404"/>
      <c r="L450" s="120">
        <f t="shared" si="83"/>
        <v>0</v>
      </c>
      <c r="M450" s="120">
        <f t="shared" si="84"/>
        <v>0</v>
      </c>
      <c r="N450" s="120">
        <f t="shared" si="85"/>
        <v>0</v>
      </c>
      <c r="O450" s="404">
        <f t="shared" si="86"/>
        <v>0</v>
      </c>
      <c r="P450" s="127">
        <f t="shared" si="87"/>
        <v>0</v>
      </c>
    </row>
    <row r="451" spans="1:16" ht="15.75">
      <c r="A451" s="260"/>
      <c r="B451" s="118" t="s">
        <v>260</v>
      </c>
      <c r="C451" s="132" t="s">
        <v>249</v>
      </c>
      <c r="D451" s="129"/>
      <c r="E451" s="133"/>
      <c r="F451" s="141"/>
      <c r="G451" s="221"/>
      <c r="H451" s="120"/>
      <c r="I451" s="417"/>
      <c r="J451" s="120"/>
      <c r="K451" s="404"/>
      <c r="L451" s="120">
        <f t="shared" si="83"/>
        <v>0</v>
      </c>
      <c r="M451" s="120">
        <f t="shared" si="84"/>
        <v>0</v>
      </c>
      <c r="N451" s="120">
        <f t="shared" si="85"/>
        <v>0</v>
      </c>
      <c r="O451" s="404">
        <f t="shared" si="86"/>
        <v>0</v>
      </c>
      <c r="P451" s="127">
        <f t="shared" si="87"/>
        <v>0</v>
      </c>
    </row>
    <row r="452" spans="1:16" ht="15.75">
      <c r="A452" s="260"/>
      <c r="B452" s="118"/>
      <c r="C452" s="132" t="s">
        <v>250</v>
      </c>
      <c r="D452" s="129"/>
      <c r="E452" s="133"/>
      <c r="F452" s="141"/>
      <c r="G452" s="134" t="s">
        <v>254</v>
      </c>
      <c r="H452" s="120">
        <v>235</v>
      </c>
      <c r="I452" s="417">
        <v>32</v>
      </c>
      <c r="J452" s="120">
        <f>794.88+5.9</f>
        <v>800.78</v>
      </c>
      <c r="K452" s="404">
        <v>0</v>
      </c>
      <c r="L452" s="120">
        <f t="shared" si="83"/>
        <v>800.78</v>
      </c>
      <c r="M452" s="120">
        <f t="shared" si="84"/>
        <v>7520</v>
      </c>
      <c r="N452" s="120">
        <f t="shared" si="85"/>
        <v>188183.3</v>
      </c>
      <c r="O452" s="404">
        <f t="shared" si="86"/>
        <v>0</v>
      </c>
      <c r="P452" s="127">
        <f t="shared" si="87"/>
        <v>188183.3</v>
      </c>
    </row>
    <row r="453" spans="1:16" ht="15.75">
      <c r="A453" s="260"/>
      <c r="B453" s="118"/>
      <c r="C453" s="128" t="s">
        <v>1384</v>
      </c>
      <c r="D453" s="129"/>
      <c r="E453" s="133"/>
      <c r="F453" s="141"/>
      <c r="G453" s="399"/>
      <c r="H453" s="120"/>
      <c r="I453" s="417"/>
      <c r="J453" s="120"/>
      <c r="K453" s="404"/>
      <c r="L453" s="120"/>
      <c r="M453" s="120"/>
      <c r="N453" s="120"/>
      <c r="O453" s="404"/>
      <c r="P453" s="121"/>
    </row>
    <row r="454" spans="1:16" ht="15.75">
      <c r="A454" s="260"/>
      <c r="B454" s="118" t="s">
        <v>1385</v>
      </c>
      <c r="C454" s="132" t="s">
        <v>1386</v>
      </c>
      <c r="D454" s="129"/>
      <c r="E454" s="133"/>
      <c r="F454" s="141"/>
      <c r="G454" s="399"/>
      <c r="H454" s="120"/>
      <c r="I454" s="417"/>
      <c r="J454" s="120"/>
      <c r="K454" s="404"/>
      <c r="L454" s="120"/>
      <c r="M454" s="120"/>
      <c r="N454" s="120"/>
      <c r="O454" s="404"/>
      <c r="P454" s="121"/>
    </row>
    <row r="455" spans="1:16" ht="15.75">
      <c r="A455" s="260"/>
      <c r="C455" s="1433" t="s">
        <v>1387</v>
      </c>
      <c r="D455" s="1359"/>
      <c r="E455" s="1359"/>
      <c r="F455" s="1360"/>
      <c r="G455" s="399"/>
      <c r="H455" s="120"/>
      <c r="I455" s="417"/>
      <c r="J455" s="120"/>
      <c r="K455" s="404"/>
      <c r="L455" s="120"/>
      <c r="M455" s="120"/>
      <c r="N455" s="120"/>
      <c r="O455" s="404"/>
      <c r="P455" s="121"/>
    </row>
    <row r="456" spans="1:16" ht="18">
      <c r="A456" s="260"/>
      <c r="B456" s="118"/>
      <c r="C456" s="132" t="s">
        <v>1388</v>
      </c>
      <c r="D456" s="129"/>
      <c r="E456" s="133"/>
      <c r="F456" s="141"/>
      <c r="G456" s="399" t="s">
        <v>273</v>
      </c>
      <c r="H456" s="120">
        <v>537.21</v>
      </c>
      <c r="I456" s="417">
        <v>101</v>
      </c>
      <c r="J456" s="120"/>
      <c r="K456" s="404">
        <v>101</v>
      </c>
      <c r="L456" s="120">
        <f>K456+J456</f>
        <v>101</v>
      </c>
      <c r="M456" s="120">
        <f t="shared" ref="M456:M457" si="88">H456*I456</f>
        <v>54258.210000000006</v>
      </c>
      <c r="N456" s="120">
        <f t="shared" ref="N456:N457" si="89">H456*J456</f>
        <v>0</v>
      </c>
      <c r="O456" s="404">
        <f t="shared" ref="O456:O457" si="90">H456*K456</f>
        <v>54258.210000000006</v>
      </c>
      <c r="P456" s="457">
        <f>L456*H456</f>
        <v>54258.210000000006</v>
      </c>
    </row>
    <row r="457" spans="1:16" ht="18">
      <c r="A457" s="260"/>
      <c r="B457" s="118"/>
      <c r="C457" s="132" t="s">
        <v>1389</v>
      </c>
      <c r="D457" s="129"/>
      <c r="E457" s="133"/>
      <c r="F457" s="141"/>
      <c r="G457" s="399" t="s">
        <v>273</v>
      </c>
      <c r="H457" s="120">
        <v>537.21</v>
      </c>
      <c r="I457" s="417">
        <v>30.3</v>
      </c>
      <c r="J457" s="120"/>
      <c r="K457" s="404">
        <v>30.3</v>
      </c>
      <c r="L457" s="120">
        <f>K457+J457</f>
        <v>30.3</v>
      </c>
      <c r="M457" s="120">
        <f t="shared" si="88"/>
        <v>16277.463000000002</v>
      </c>
      <c r="N457" s="120">
        <f t="shared" si="89"/>
        <v>0</v>
      </c>
      <c r="O457" s="404">
        <f t="shared" si="90"/>
        <v>16277.463000000002</v>
      </c>
      <c r="P457" s="457">
        <f>L457*H457</f>
        <v>16277.463000000002</v>
      </c>
    </row>
    <row r="458" spans="1:16" ht="15.75">
      <c r="A458" s="260"/>
      <c r="B458" s="118"/>
      <c r="C458" s="132"/>
      <c r="D458" s="129"/>
      <c r="E458" s="133"/>
      <c r="F458" s="141"/>
      <c r="G458" s="399"/>
      <c r="H458" s="120"/>
      <c r="I458" s="417"/>
      <c r="J458" s="120"/>
      <c r="K458" s="404"/>
      <c r="L458" s="120"/>
      <c r="M458" s="120"/>
      <c r="N458" s="120"/>
      <c r="O458" s="404"/>
      <c r="P458" s="121"/>
    </row>
    <row r="459" spans="1:16" ht="18">
      <c r="A459" s="260"/>
      <c r="B459" s="444"/>
      <c r="C459" s="445"/>
      <c r="D459" s="446"/>
      <c r="E459" s="446"/>
      <c r="F459" s="447" t="s">
        <v>321</v>
      </c>
      <c r="G459" s="448"/>
      <c r="H459" s="404"/>
      <c r="I459" s="417"/>
      <c r="J459" s="408"/>
      <c r="K459" s="449"/>
      <c r="L459" s="449"/>
      <c r="M459" s="449">
        <f>SUM(M412:M452)</f>
        <v>331119.61140000005</v>
      </c>
      <c r="N459" s="449">
        <f>SUM(N412:N452)</f>
        <v>722771.06789999991</v>
      </c>
      <c r="O459" s="449">
        <f>SUM(O456:O458)</f>
        <v>70535.67300000001</v>
      </c>
      <c r="P459" s="532">
        <f>SUM(P412:P452)</f>
        <v>722771.06789999991</v>
      </c>
    </row>
    <row r="460" spans="1:16" ht="15.75">
      <c r="A460" s="260"/>
      <c r="B460" s="146"/>
      <c r="C460" s="128"/>
      <c r="D460" s="213"/>
      <c r="E460" s="213"/>
      <c r="F460" s="213"/>
      <c r="G460" s="221"/>
      <c r="H460" s="136"/>
      <c r="I460" s="422"/>
      <c r="J460" s="136"/>
      <c r="K460" s="408"/>
      <c r="L460" s="136"/>
      <c r="M460" s="120"/>
      <c r="N460" s="120"/>
      <c r="O460" s="404"/>
      <c r="P460" s="121"/>
    </row>
    <row r="461" spans="1:16" s="610" customFormat="1" ht="20.25">
      <c r="A461" s="603"/>
      <c r="B461" s="604"/>
      <c r="C461" s="611" t="s">
        <v>566</v>
      </c>
      <c r="D461" s="612"/>
      <c r="E461" s="612"/>
      <c r="F461" s="613"/>
      <c r="G461" s="624"/>
      <c r="H461" s="615"/>
      <c r="I461" s="417"/>
      <c r="J461" s="608"/>
      <c r="K461" s="404"/>
      <c r="L461" s="608"/>
      <c r="M461" s="608"/>
      <c r="N461" s="608"/>
      <c r="O461" s="404"/>
      <c r="P461" s="623"/>
    </row>
    <row r="462" spans="1:16" ht="15.75">
      <c r="A462" s="260"/>
      <c r="B462" s="118"/>
      <c r="C462" s="132"/>
      <c r="D462" s="129"/>
      <c r="E462" s="129"/>
      <c r="F462" s="130"/>
      <c r="G462" s="223"/>
      <c r="H462" s="120"/>
      <c r="I462" s="417"/>
      <c r="J462" s="120"/>
      <c r="K462" s="404"/>
      <c r="L462" s="120"/>
      <c r="M462" s="120"/>
      <c r="N462" s="120"/>
      <c r="O462" s="404"/>
      <c r="P462" s="127"/>
    </row>
    <row r="463" spans="1:16" ht="15.75">
      <c r="A463" s="260"/>
      <c r="B463" s="118"/>
      <c r="C463" s="128" t="s">
        <v>136</v>
      </c>
      <c r="D463" s="133"/>
      <c r="E463" s="133"/>
      <c r="F463" s="141"/>
      <c r="G463" s="222"/>
      <c r="H463" s="136"/>
      <c r="I463" s="417"/>
      <c r="J463" s="120"/>
      <c r="K463" s="404"/>
      <c r="L463" s="120"/>
      <c r="M463" s="120"/>
      <c r="N463" s="120"/>
      <c r="O463" s="404"/>
      <c r="P463" s="127"/>
    </row>
    <row r="464" spans="1:16" ht="15.75">
      <c r="A464" s="260"/>
      <c r="B464" s="118"/>
      <c r="C464" s="128"/>
      <c r="D464" s="133"/>
      <c r="E464" s="133"/>
      <c r="F464" s="141"/>
      <c r="G464" s="223"/>
      <c r="H464" s="120"/>
      <c r="I464" s="417"/>
      <c r="J464" s="120"/>
      <c r="K464" s="404"/>
      <c r="L464" s="120"/>
      <c r="M464" s="120"/>
      <c r="N464" s="120"/>
      <c r="O464" s="404"/>
      <c r="P464" s="127"/>
    </row>
    <row r="465" spans="1:16" ht="18">
      <c r="A465" s="260"/>
      <c r="B465" s="118" t="s">
        <v>153</v>
      </c>
      <c r="C465" s="132" t="s">
        <v>316</v>
      </c>
      <c r="D465" s="129"/>
      <c r="E465" s="129"/>
      <c r="F465" s="130"/>
      <c r="G465" s="134" t="s">
        <v>273</v>
      </c>
      <c r="H465" s="120">
        <v>26.11</v>
      </c>
      <c r="I465" s="417">
        <v>358.44</v>
      </c>
      <c r="J465" s="120">
        <f>1184.22+12</f>
        <v>1196.22</v>
      </c>
      <c r="K465" s="404">
        <v>0</v>
      </c>
      <c r="L465" s="120">
        <f>J465+K465</f>
        <v>1196.22</v>
      </c>
      <c r="M465" s="120">
        <f>H465*I465</f>
        <v>9358.8683999999994</v>
      </c>
      <c r="N465" s="120">
        <f>H465*J465</f>
        <v>31233.304199999999</v>
      </c>
      <c r="O465" s="404">
        <f>H465*K465</f>
        <v>0</v>
      </c>
      <c r="P465" s="127">
        <f>H465*L465</f>
        <v>31233.304199999999</v>
      </c>
    </row>
    <row r="466" spans="1:16" ht="15.75">
      <c r="A466" s="260"/>
      <c r="B466" s="118"/>
      <c r="C466" s="132"/>
      <c r="D466" s="129"/>
      <c r="E466" s="129"/>
      <c r="F466" s="130"/>
      <c r="G466" s="134"/>
      <c r="H466" s="120"/>
      <c r="I466" s="417"/>
      <c r="J466" s="120"/>
      <c r="K466" s="404"/>
      <c r="L466" s="120">
        <f t="shared" ref="L466:L516" si="91">J466+K466</f>
        <v>0</v>
      </c>
      <c r="M466" s="120">
        <f t="shared" ref="M466:M516" si="92">H466*I466</f>
        <v>0</v>
      </c>
      <c r="N466" s="120">
        <f t="shared" ref="N466:N516" si="93">H466*J466</f>
        <v>0</v>
      </c>
      <c r="O466" s="404">
        <f t="shared" ref="O466:O516" si="94">H466*K466</f>
        <v>0</v>
      </c>
      <c r="P466" s="127">
        <f t="shared" ref="P466:P515" si="95">H466*L466</f>
        <v>0</v>
      </c>
    </row>
    <row r="467" spans="1:16" ht="15.75">
      <c r="A467" s="260"/>
      <c r="B467" s="118" t="s">
        <v>494</v>
      </c>
      <c r="C467" s="125" t="s">
        <v>493</v>
      </c>
      <c r="D467" s="125"/>
      <c r="E467" s="125"/>
      <c r="F467" s="126"/>
      <c r="G467" s="134" t="s">
        <v>141</v>
      </c>
      <c r="H467" s="120">
        <v>48.12</v>
      </c>
      <c r="I467" s="417">
        <v>0</v>
      </c>
      <c r="J467" s="120">
        <v>1035.75</v>
      </c>
      <c r="K467" s="404"/>
      <c r="L467" s="120">
        <f t="shared" si="91"/>
        <v>1035.75</v>
      </c>
      <c r="M467" s="120">
        <f t="shared" si="92"/>
        <v>0</v>
      </c>
      <c r="N467" s="120">
        <f t="shared" si="93"/>
        <v>49840.29</v>
      </c>
      <c r="O467" s="404">
        <f t="shared" si="94"/>
        <v>0</v>
      </c>
      <c r="P467" s="127">
        <f t="shared" si="95"/>
        <v>49840.29</v>
      </c>
    </row>
    <row r="468" spans="1:16" ht="15.75">
      <c r="A468" s="260"/>
      <c r="B468" s="118"/>
      <c r="C468" s="125"/>
      <c r="D468" s="125"/>
      <c r="E468" s="125"/>
      <c r="F468" s="126"/>
      <c r="G468" s="399"/>
      <c r="H468" s="120"/>
      <c r="I468" s="417"/>
      <c r="J468" s="120"/>
      <c r="K468" s="404"/>
      <c r="L468" s="120">
        <f t="shared" si="91"/>
        <v>0</v>
      </c>
      <c r="M468" s="120"/>
      <c r="N468" s="120">
        <f t="shared" si="93"/>
        <v>0</v>
      </c>
      <c r="O468" s="404"/>
      <c r="P468" s="127">
        <f t="shared" si="95"/>
        <v>0</v>
      </c>
    </row>
    <row r="469" spans="1:16" ht="15.75">
      <c r="A469" s="260"/>
      <c r="B469" s="118" t="s">
        <v>494</v>
      </c>
      <c r="C469" s="125" t="s">
        <v>866</v>
      </c>
      <c r="D469" s="125"/>
      <c r="E469" s="125"/>
      <c r="F469" s="126"/>
      <c r="G469" s="399" t="s">
        <v>865</v>
      </c>
      <c r="H469" s="120">
        <v>48.12</v>
      </c>
      <c r="I469" s="417"/>
      <c r="J469" s="120">
        <v>750.16</v>
      </c>
      <c r="K469" s="404"/>
      <c r="L469" s="120">
        <f t="shared" si="91"/>
        <v>750.16</v>
      </c>
      <c r="M469" s="120"/>
      <c r="N469" s="120">
        <f t="shared" si="93"/>
        <v>36097.699199999995</v>
      </c>
      <c r="O469" s="404"/>
      <c r="P469" s="127">
        <f t="shared" si="95"/>
        <v>36097.699199999995</v>
      </c>
    </row>
    <row r="470" spans="1:16" ht="15.75">
      <c r="A470" s="260"/>
      <c r="B470" s="118"/>
      <c r="C470" s="132"/>
      <c r="D470" s="129"/>
      <c r="E470" s="129"/>
      <c r="F470" s="130"/>
      <c r="G470" s="223"/>
      <c r="H470" s="120"/>
      <c r="I470" s="417"/>
      <c r="J470" s="120"/>
      <c r="K470" s="404"/>
      <c r="L470" s="120">
        <f t="shared" si="91"/>
        <v>0</v>
      </c>
      <c r="M470" s="120">
        <f t="shared" si="92"/>
        <v>0</v>
      </c>
      <c r="N470" s="120">
        <f t="shared" si="93"/>
        <v>0</v>
      </c>
      <c r="O470" s="404">
        <f t="shared" si="94"/>
        <v>0</v>
      </c>
      <c r="P470" s="127">
        <f t="shared" si="95"/>
        <v>0</v>
      </c>
    </row>
    <row r="471" spans="1:16" ht="15.75">
      <c r="A471" s="260"/>
      <c r="B471" s="118" t="s">
        <v>154</v>
      </c>
      <c r="C471" s="132" t="s">
        <v>98</v>
      </c>
      <c r="D471" s="129"/>
      <c r="E471" s="129"/>
      <c r="F471" s="130"/>
      <c r="G471" s="223"/>
      <c r="H471" s="120"/>
      <c r="I471" s="417"/>
      <c r="J471" s="120"/>
      <c r="K471" s="404"/>
      <c r="L471" s="120">
        <f t="shared" si="91"/>
        <v>0</v>
      </c>
      <c r="M471" s="120">
        <f t="shared" si="92"/>
        <v>0</v>
      </c>
      <c r="N471" s="120">
        <f t="shared" si="93"/>
        <v>0</v>
      </c>
      <c r="O471" s="404">
        <f t="shared" si="94"/>
        <v>0</v>
      </c>
      <c r="P471" s="127">
        <f t="shared" si="95"/>
        <v>0</v>
      </c>
    </row>
    <row r="472" spans="1:16" ht="18">
      <c r="A472" s="260"/>
      <c r="B472" s="118"/>
      <c r="C472" s="132" t="s">
        <v>137</v>
      </c>
      <c r="D472" s="129"/>
      <c r="E472" s="129"/>
      <c r="F472" s="130"/>
      <c r="G472" s="134" t="s">
        <v>273</v>
      </c>
      <c r="H472" s="120">
        <v>34.11</v>
      </c>
      <c r="I472" s="417">
        <v>54.72</v>
      </c>
      <c r="J472" s="120">
        <v>106</v>
      </c>
      <c r="K472" s="404"/>
      <c r="L472" s="120">
        <f t="shared" si="91"/>
        <v>106</v>
      </c>
      <c r="M472" s="120">
        <f t="shared" si="92"/>
        <v>1866.4992</v>
      </c>
      <c r="N472" s="120">
        <f t="shared" si="93"/>
        <v>3615.66</v>
      </c>
      <c r="O472" s="404">
        <f t="shared" si="94"/>
        <v>0</v>
      </c>
      <c r="P472" s="127">
        <f t="shared" si="95"/>
        <v>3615.66</v>
      </c>
    </row>
    <row r="473" spans="1:16" ht="15.75">
      <c r="A473" s="260"/>
      <c r="B473" s="118"/>
      <c r="C473" s="132"/>
      <c r="D473" s="129"/>
      <c r="E473" s="129"/>
      <c r="F473" s="130"/>
      <c r="G473" s="134"/>
      <c r="H473" s="120"/>
      <c r="I473" s="417"/>
      <c r="J473" s="120"/>
      <c r="K473" s="404"/>
      <c r="L473" s="120">
        <f t="shared" ref="L473:L485" si="96">J473+K473</f>
        <v>0</v>
      </c>
      <c r="M473" s="120">
        <f t="shared" ref="M473:M485" si="97">H473*I473</f>
        <v>0</v>
      </c>
      <c r="N473" s="120">
        <f t="shared" ref="N473:N485" si="98">H473*J473</f>
        <v>0</v>
      </c>
      <c r="O473" s="404">
        <f t="shared" ref="O473:O485" si="99">H473*K473</f>
        <v>0</v>
      </c>
      <c r="P473" s="127">
        <f t="shared" ref="P473:P485" si="100">H473*L473</f>
        <v>0</v>
      </c>
    </row>
    <row r="474" spans="1:16" ht="18">
      <c r="A474" s="260"/>
      <c r="B474" s="721" t="s">
        <v>496</v>
      </c>
      <c r="C474" s="498" t="s">
        <v>495</v>
      </c>
      <c r="D474" s="499"/>
      <c r="E474" s="499"/>
      <c r="F474" s="500"/>
      <c r="G474" s="489" t="s">
        <v>273</v>
      </c>
      <c r="H474" s="491">
        <v>34.11</v>
      </c>
      <c r="I474" s="491">
        <v>0</v>
      </c>
      <c r="J474" s="491"/>
      <c r="K474" s="404"/>
      <c r="L474" s="491">
        <f t="shared" si="96"/>
        <v>0</v>
      </c>
      <c r="M474" s="491">
        <f t="shared" si="97"/>
        <v>0</v>
      </c>
      <c r="N474" s="491">
        <f t="shared" si="98"/>
        <v>0</v>
      </c>
      <c r="O474" s="491">
        <f t="shared" si="99"/>
        <v>0</v>
      </c>
      <c r="P474" s="507">
        <f t="shared" si="100"/>
        <v>0</v>
      </c>
    </row>
    <row r="475" spans="1:16" ht="15.75">
      <c r="A475" s="260"/>
      <c r="B475" s="721"/>
      <c r="C475" s="498"/>
      <c r="D475" s="499"/>
      <c r="E475" s="499"/>
      <c r="F475" s="500"/>
      <c r="G475" s="489"/>
      <c r="H475" s="491"/>
      <c r="I475" s="491"/>
      <c r="J475" s="491"/>
      <c r="K475" s="404"/>
      <c r="L475" s="491">
        <f t="shared" si="96"/>
        <v>0</v>
      </c>
      <c r="M475" s="491">
        <f t="shared" si="97"/>
        <v>0</v>
      </c>
      <c r="N475" s="491">
        <f t="shared" si="98"/>
        <v>0</v>
      </c>
      <c r="O475" s="491">
        <f t="shared" si="99"/>
        <v>0</v>
      </c>
      <c r="P475" s="507">
        <f t="shared" si="100"/>
        <v>0</v>
      </c>
    </row>
    <row r="476" spans="1:16" ht="15.75">
      <c r="A476" s="260"/>
      <c r="B476" s="721" t="s">
        <v>496</v>
      </c>
      <c r="C476" s="1422" t="s">
        <v>768</v>
      </c>
      <c r="D476" s="1423"/>
      <c r="E476" s="1423"/>
      <c r="F476" s="1424"/>
      <c r="G476" s="489"/>
      <c r="H476" s="491"/>
      <c r="I476" s="491"/>
      <c r="J476" s="491"/>
      <c r="K476" s="404"/>
      <c r="L476" s="491">
        <f t="shared" si="96"/>
        <v>0</v>
      </c>
      <c r="M476" s="491">
        <f t="shared" si="97"/>
        <v>0</v>
      </c>
      <c r="N476" s="491">
        <f t="shared" si="98"/>
        <v>0</v>
      </c>
      <c r="O476" s="491">
        <f t="shared" si="99"/>
        <v>0</v>
      </c>
      <c r="P476" s="507">
        <f t="shared" si="100"/>
        <v>0</v>
      </c>
    </row>
    <row r="477" spans="1:16" ht="18">
      <c r="A477" s="260"/>
      <c r="B477" s="721"/>
      <c r="C477" s="1422" t="s">
        <v>769</v>
      </c>
      <c r="D477" s="1423"/>
      <c r="E477" s="1423"/>
      <c r="F477" s="1424"/>
      <c r="G477" s="489" t="s">
        <v>273</v>
      </c>
      <c r="H477" s="491">
        <v>101.87</v>
      </c>
      <c r="I477" s="491"/>
      <c r="J477" s="491">
        <v>427.15</v>
      </c>
      <c r="K477" s="404">
        <f>'SDB Gates 1 2 3 and 4'!J20</f>
        <v>0</v>
      </c>
      <c r="L477" s="491">
        <f t="shared" si="96"/>
        <v>427.15</v>
      </c>
      <c r="M477" s="491">
        <f t="shared" si="97"/>
        <v>0</v>
      </c>
      <c r="N477" s="491">
        <f t="shared" si="98"/>
        <v>43513.770499999999</v>
      </c>
      <c r="O477" s="491">
        <f t="shared" si="99"/>
        <v>0</v>
      </c>
      <c r="P477" s="507">
        <f t="shared" si="100"/>
        <v>43513.770499999999</v>
      </c>
    </row>
    <row r="478" spans="1:16" s="610" customFormat="1" ht="15.75">
      <c r="A478" s="603"/>
      <c r="B478" s="722" t="s">
        <v>833</v>
      </c>
      <c r="C478" s="1419" t="s">
        <v>835</v>
      </c>
      <c r="D478" s="1420"/>
      <c r="E478" s="1420"/>
      <c r="F478" s="1421"/>
      <c r="G478" s="489"/>
      <c r="H478" s="491"/>
      <c r="I478" s="491"/>
      <c r="J478" s="491"/>
      <c r="K478" s="404"/>
      <c r="L478" s="491">
        <f t="shared" si="96"/>
        <v>0</v>
      </c>
      <c r="M478" s="491">
        <f t="shared" si="97"/>
        <v>0</v>
      </c>
      <c r="N478" s="491">
        <f t="shared" si="98"/>
        <v>0</v>
      </c>
      <c r="O478" s="491">
        <f t="shared" si="99"/>
        <v>0</v>
      </c>
      <c r="P478" s="507">
        <f t="shared" si="100"/>
        <v>0</v>
      </c>
    </row>
    <row r="479" spans="1:16" ht="18">
      <c r="A479" s="260"/>
      <c r="B479" s="721"/>
      <c r="C479" s="1422" t="s">
        <v>836</v>
      </c>
      <c r="D479" s="1423"/>
      <c r="E479" s="1423"/>
      <c r="F479" s="1424"/>
      <c r="G479" s="489" t="s">
        <v>273</v>
      </c>
      <c r="H479" s="491">
        <v>121.6</v>
      </c>
      <c r="I479" s="491">
        <v>148.5</v>
      </c>
      <c r="J479" s="491">
        <v>148.47</v>
      </c>
      <c r="K479" s="404"/>
      <c r="L479" s="491">
        <f t="shared" si="96"/>
        <v>148.47</v>
      </c>
      <c r="M479" s="491">
        <f t="shared" si="97"/>
        <v>18057.599999999999</v>
      </c>
      <c r="N479" s="491">
        <f t="shared" si="98"/>
        <v>18053.951999999997</v>
      </c>
      <c r="O479" s="491">
        <f t="shared" si="99"/>
        <v>0</v>
      </c>
      <c r="P479" s="507">
        <f t="shared" si="100"/>
        <v>18053.951999999997</v>
      </c>
    </row>
    <row r="480" spans="1:16" ht="15.75">
      <c r="A480" s="260"/>
      <c r="B480" s="721"/>
      <c r="C480" s="1422"/>
      <c r="D480" s="1423"/>
      <c r="E480" s="1423"/>
      <c r="F480" s="1424"/>
      <c r="G480" s="489"/>
      <c r="H480" s="491"/>
      <c r="I480" s="491"/>
      <c r="J480" s="491"/>
      <c r="K480" s="404"/>
      <c r="L480" s="491">
        <f t="shared" si="96"/>
        <v>0</v>
      </c>
      <c r="M480" s="491">
        <f t="shared" si="97"/>
        <v>0</v>
      </c>
      <c r="N480" s="491">
        <f t="shared" si="98"/>
        <v>0</v>
      </c>
      <c r="O480" s="491">
        <f t="shared" si="99"/>
        <v>0</v>
      </c>
      <c r="P480" s="507">
        <f t="shared" si="100"/>
        <v>0</v>
      </c>
    </row>
    <row r="481" spans="1:16" ht="18">
      <c r="A481" s="260"/>
      <c r="B481" s="721"/>
      <c r="C481" s="1422" t="s">
        <v>834</v>
      </c>
      <c r="D481" s="1423"/>
      <c r="E481" s="1423"/>
      <c r="F481" s="1424"/>
      <c r="G481" s="489" t="s">
        <v>273</v>
      </c>
      <c r="H481" s="491">
        <v>143.06</v>
      </c>
      <c r="I481" s="491">
        <v>39.6</v>
      </c>
      <c r="J481" s="491">
        <v>39.33</v>
      </c>
      <c r="K481" s="404"/>
      <c r="L481" s="491">
        <f t="shared" si="96"/>
        <v>39.33</v>
      </c>
      <c r="M481" s="491">
        <f t="shared" si="97"/>
        <v>5665.1760000000004</v>
      </c>
      <c r="N481" s="491">
        <f t="shared" si="98"/>
        <v>5626.5497999999998</v>
      </c>
      <c r="O481" s="491">
        <f t="shared" si="99"/>
        <v>0</v>
      </c>
      <c r="P481" s="507">
        <f t="shared" si="100"/>
        <v>5626.5497999999998</v>
      </c>
    </row>
    <row r="482" spans="1:16" ht="15.75">
      <c r="A482" s="260"/>
      <c r="B482" s="721"/>
      <c r="C482" s="658"/>
      <c r="D482" s="659"/>
      <c r="E482" s="659"/>
      <c r="F482" s="660"/>
      <c r="G482" s="489"/>
      <c r="H482" s="491"/>
      <c r="I482" s="491"/>
      <c r="J482" s="491"/>
      <c r="K482" s="404"/>
      <c r="L482" s="491">
        <f t="shared" si="96"/>
        <v>0</v>
      </c>
      <c r="M482" s="491">
        <f t="shared" si="97"/>
        <v>0</v>
      </c>
      <c r="N482" s="491">
        <f t="shared" si="98"/>
        <v>0</v>
      </c>
      <c r="O482" s="491">
        <f t="shared" si="99"/>
        <v>0</v>
      </c>
      <c r="P482" s="507">
        <f t="shared" si="100"/>
        <v>0</v>
      </c>
    </row>
    <row r="483" spans="1:16" ht="18">
      <c r="A483" s="260"/>
      <c r="B483" s="721"/>
      <c r="C483" s="1422" t="s">
        <v>837</v>
      </c>
      <c r="D483" s="1423"/>
      <c r="E483" s="1423"/>
      <c r="F483" s="1424"/>
      <c r="G483" s="489" t="s">
        <v>273</v>
      </c>
      <c r="H483" s="491">
        <v>207.39</v>
      </c>
      <c r="I483" s="491">
        <v>141.6</v>
      </c>
      <c r="J483" s="491">
        <v>141.65</v>
      </c>
      <c r="K483" s="404"/>
      <c r="L483" s="491">
        <f t="shared" si="96"/>
        <v>141.65</v>
      </c>
      <c r="M483" s="491">
        <f t="shared" si="97"/>
        <v>29366.423999999995</v>
      </c>
      <c r="N483" s="491">
        <f t="shared" si="98"/>
        <v>29376.7935</v>
      </c>
      <c r="O483" s="491">
        <f t="shared" si="99"/>
        <v>0</v>
      </c>
      <c r="P483" s="507">
        <f t="shared" si="100"/>
        <v>29376.7935</v>
      </c>
    </row>
    <row r="484" spans="1:16" ht="15.75">
      <c r="A484" s="260"/>
      <c r="B484" s="721"/>
      <c r="C484" s="658"/>
      <c r="D484" s="659"/>
      <c r="E484" s="659"/>
      <c r="F484" s="660"/>
      <c r="G484" s="489"/>
      <c r="H484" s="491"/>
      <c r="I484" s="491"/>
      <c r="J484" s="491"/>
      <c r="K484" s="404"/>
      <c r="L484" s="491">
        <f t="shared" si="96"/>
        <v>0</v>
      </c>
      <c r="M484" s="491">
        <f t="shared" si="97"/>
        <v>0</v>
      </c>
      <c r="N484" s="491">
        <f t="shared" si="98"/>
        <v>0</v>
      </c>
      <c r="O484" s="491">
        <f t="shared" si="99"/>
        <v>0</v>
      </c>
      <c r="P484" s="507">
        <f t="shared" si="100"/>
        <v>0</v>
      </c>
    </row>
    <row r="485" spans="1:16" ht="18">
      <c r="A485" s="260"/>
      <c r="B485" s="721"/>
      <c r="C485" s="1422" t="s">
        <v>834</v>
      </c>
      <c r="D485" s="1423"/>
      <c r="E485" s="1423"/>
      <c r="F485" s="1424"/>
      <c r="G485" s="489" t="s">
        <v>273</v>
      </c>
      <c r="H485" s="491">
        <v>244.31</v>
      </c>
      <c r="I485" s="491">
        <v>94.4</v>
      </c>
      <c r="J485" s="491">
        <v>94.43</v>
      </c>
      <c r="K485" s="404"/>
      <c r="L485" s="491">
        <f t="shared" si="96"/>
        <v>94.43</v>
      </c>
      <c r="M485" s="491">
        <f t="shared" si="97"/>
        <v>23062.864000000001</v>
      </c>
      <c r="N485" s="491">
        <f t="shared" si="98"/>
        <v>23070.193300000003</v>
      </c>
      <c r="O485" s="491">
        <f t="shared" si="99"/>
        <v>0</v>
      </c>
      <c r="P485" s="507">
        <f t="shared" si="100"/>
        <v>23070.193300000003</v>
      </c>
    </row>
    <row r="486" spans="1:16" ht="15.75">
      <c r="A486" s="260"/>
      <c r="B486" s="721"/>
      <c r="C486" s="658"/>
      <c r="D486" s="659"/>
      <c r="E486" s="659"/>
      <c r="F486" s="660"/>
      <c r="G486" s="489"/>
      <c r="H486" s="491"/>
      <c r="I486" s="491"/>
      <c r="J486" s="491"/>
      <c r="K486" s="404"/>
      <c r="L486" s="491"/>
      <c r="M486" s="491"/>
      <c r="N486" s="491"/>
      <c r="O486" s="491"/>
      <c r="P486" s="507"/>
    </row>
    <row r="487" spans="1:16" ht="15.75">
      <c r="A487" s="260"/>
      <c r="B487" s="721"/>
      <c r="C487" s="658"/>
      <c r="D487" s="659"/>
      <c r="E487" s="659"/>
      <c r="F487" s="660"/>
      <c r="G487" s="489"/>
      <c r="H487" s="491"/>
      <c r="I487" s="491"/>
      <c r="J487" s="491"/>
      <c r="K487" s="404"/>
      <c r="L487" s="491"/>
      <c r="M487" s="491"/>
      <c r="N487" s="491"/>
      <c r="O487" s="491"/>
      <c r="P487" s="507"/>
    </row>
    <row r="488" spans="1:16" ht="15.75">
      <c r="A488" s="260"/>
      <c r="B488" s="721" t="s">
        <v>155</v>
      </c>
      <c r="C488" s="498" t="s">
        <v>100</v>
      </c>
      <c r="D488" s="499"/>
      <c r="E488" s="499"/>
      <c r="F488" s="500"/>
      <c r="G488" s="723"/>
      <c r="H488" s="491"/>
      <c r="I488" s="491"/>
      <c r="J488" s="491"/>
      <c r="K488" s="404"/>
      <c r="L488" s="491">
        <f t="shared" si="91"/>
        <v>0</v>
      </c>
      <c r="M488" s="491">
        <f t="shared" si="92"/>
        <v>0</v>
      </c>
      <c r="N488" s="491">
        <f>H488*J488</f>
        <v>0</v>
      </c>
      <c r="O488" s="491">
        <f t="shared" si="94"/>
        <v>0</v>
      </c>
      <c r="P488" s="507">
        <f t="shared" si="95"/>
        <v>0</v>
      </c>
    </row>
    <row r="489" spans="1:16" ht="18">
      <c r="A489" s="260"/>
      <c r="B489" s="724"/>
      <c r="C489" s="498" t="s">
        <v>108</v>
      </c>
      <c r="D489" s="499"/>
      <c r="E489" s="499"/>
      <c r="F489" s="500"/>
      <c r="G489" s="489" t="s">
        <v>273</v>
      </c>
      <c r="H489" s="491">
        <v>34.69</v>
      </c>
      <c r="I489" s="491">
        <v>477.92</v>
      </c>
      <c r="J489" s="491">
        <f>2664.5+12</f>
        <v>2676.5</v>
      </c>
      <c r="K489" s="404">
        <v>0</v>
      </c>
      <c r="L489" s="491">
        <f t="shared" si="91"/>
        <v>2676.5</v>
      </c>
      <c r="M489" s="491">
        <f t="shared" si="92"/>
        <v>16579.0448</v>
      </c>
      <c r="N489" s="491">
        <f t="shared" si="93"/>
        <v>92847.784999999989</v>
      </c>
      <c r="O489" s="491">
        <f t="shared" si="94"/>
        <v>0</v>
      </c>
      <c r="P489" s="507">
        <f t="shared" si="95"/>
        <v>92847.784999999989</v>
      </c>
    </row>
    <row r="490" spans="1:16" ht="15.75">
      <c r="A490" s="260"/>
      <c r="B490" s="724"/>
      <c r="C490" s="501"/>
      <c r="D490" s="502"/>
      <c r="E490" s="502"/>
      <c r="F490" s="500"/>
      <c r="G490" s="723"/>
      <c r="H490" s="491"/>
      <c r="I490" s="491"/>
      <c r="J490" s="491"/>
      <c r="K490" s="404"/>
      <c r="L490" s="491">
        <f t="shared" si="91"/>
        <v>0</v>
      </c>
      <c r="M490" s="491">
        <f t="shared" si="92"/>
        <v>0</v>
      </c>
      <c r="N490" s="491">
        <f t="shared" si="93"/>
        <v>0</v>
      </c>
      <c r="O490" s="491">
        <f t="shared" si="94"/>
        <v>0</v>
      </c>
      <c r="P490" s="507">
        <f t="shared" si="95"/>
        <v>0</v>
      </c>
    </row>
    <row r="491" spans="1:16" ht="15.75">
      <c r="A491" s="260"/>
      <c r="B491" s="721"/>
      <c r="C491" s="502" t="s">
        <v>320</v>
      </c>
      <c r="D491" s="503"/>
      <c r="E491" s="725"/>
      <c r="F491" s="503"/>
      <c r="G491" s="726"/>
      <c r="H491" s="727"/>
      <c r="I491" s="491"/>
      <c r="J491" s="491"/>
      <c r="K491" s="404"/>
      <c r="L491" s="491">
        <f t="shared" si="91"/>
        <v>0</v>
      </c>
      <c r="M491" s="491">
        <f t="shared" si="92"/>
        <v>0</v>
      </c>
      <c r="N491" s="491">
        <f t="shared" si="93"/>
        <v>0</v>
      </c>
      <c r="O491" s="491">
        <f t="shared" si="94"/>
        <v>0</v>
      </c>
      <c r="P491" s="507">
        <f t="shared" si="95"/>
        <v>0</v>
      </c>
    </row>
    <row r="492" spans="1:16" ht="15.75">
      <c r="A492" s="260"/>
      <c r="B492" s="721" t="s">
        <v>255</v>
      </c>
      <c r="C492" s="498" t="s">
        <v>230</v>
      </c>
      <c r="D492" s="499"/>
      <c r="E492" s="502"/>
      <c r="F492" s="503"/>
      <c r="G492" s="726"/>
      <c r="H492" s="727"/>
      <c r="I492" s="491"/>
      <c r="J492" s="491"/>
      <c r="K492" s="404"/>
      <c r="L492" s="491">
        <f t="shared" si="91"/>
        <v>0</v>
      </c>
      <c r="M492" s="491">
        <f t="shared" si="92"/>
        <v>0</v>
      </c>
      <c r="N492" s="491">
        <f t="shared" si="93"/>
        <v>0</v>
      </c>
      <c r="O492" s="491">
        <f t="shared" si="94"/>
        <v>0</v>
      </c>
      <c r="P492" s="507">
        <f t="shared" si="95"/>
        <v>0</v>
      </c>
    </row>
    <row r="493" spans="1:16" ht="18">
      <c r="A493" s="260"/>
      <c r="B493" s="721"/>
      <c r="C493" s="498" t="s">
        <v>274</v>
      </c>
      <c r="D493" s="499"/>
      <c r="E493" s="502"/>
      <c r="F493" s="503"/>
      <c r="G493" s="726"/>
      <c r="H493" s="727"/>
      <c r="I493" s="491"/>
      <c r="J493" s="491"/>
      <c r="K493" s="404"/>
      <c r="L493" s="491">
        <f t="shared" si="91"/>
        <v>0</v>
      </c>
      <c r="M493" s="491">
        <f t="shared" si="92"/>
        <v>0</v>
      </c>
      <c r="N493" s="491">
        <f t="shared" si="93"/>
        <v>0</v>
      </c>
      <c r="O493" s="491">
        <f t="shared" si="94"/>
        <v>0</v>
      </c>
      <c r="P493" s="507">
        <f t="shared" si="95"/>
        <v>0</v>
      </c>
    </row>
    <row r="494" spans="1:16" ht="18">
      <c r="A494" s="260"/>
      <c r="B494" s="721"/>
      <c r="C494" s="498" t="s">
        <v>231</v>
      </c>
      <c r="D494" s="499"/>
      <c r="E494" s="502"/>
      <c r="F494" s="503"/>
      <c r="G494" s="489" t="s">
        <v>275</v>
      </c>
      <c r="H494" s="491">
        <v>35.47</v>
      </c>
      <c r="I494" s="491">
        <v>182.4</v>
      </c>
      <c r="J494" s="491">
        <f>188.32+8</f>
        <v>196.32</v>
      </c>
      <c r="K494" s="404">
        <v>0</v>
      </c>
      <c r="L494" s="491">
        <f t="shared" si="91"/>
        <v>196.32</v>
      </c>
      <c r="M494" s="491">
        <f t="shared" si="92"/>
        <v>6469.7280000000001</v>
      </c>
      <c r="N494" s="491">
        <f t="shared" si="93"/>
        <v>6963.4703999999992</v>
      </c>
      <c r="O494" s="491">
        <f t="shared" si="94"/>
        <v>0</v>
      </c>
      <c r="P494" s="507">
        <f t="shared" si="95"/>
        <v>6963.4703999999992</v>
      </c>
    </row>
    <row r="495" spans="1:16" ht="15.75">
      <c r="A495" s="260"/>
      <c r="B495" s="721"/>
      <c r="C495" s="498"/>
      <c r="D495" s="499"/>
      <c r="E495" s="502"/>
      <c r="F495" s="503"/>
      <c r="G495" s="726"/>
      <c r="H495" s="727"/>
      <c r="I495" s="727"/>
      <c r="J495" s="491"/>
      <c r="K495" s="404"/>
      <c r="L495" s="491">
        <f t="shared" si="91"/>
        <v>0</v>
      </c>
      <c r="M495" s="491">
        <f t="shared" si="92"/>
        <v>0</v>
      </c>
      <c r="N495" s="491">
        <f t="shared" si="93"/>
        <v>0</v>
      </c>
      <c r="O495" s="491">
        <f t="shared" si="94"/>
        <v>0</v>
      </c>
      <c r="P495" s="507">
        <f t="shared" si="95"/>
        <v>0</v>
      </c>
    </row>
    <row r="496" spans="1:16" ht="15.75">
      <c r="A496" s="260"/>
      <c r="B496" s="721" t="s">
        <v>256</v>
      </c>
      <c r="C496" s="498" t="s">
        <v>233</v>
      </c>
      <c r="D496" s="499"/>
      <c r="E496" s="502"/>
      <c r="F496" s="503"/>
      <c r="G496" s="726"/>
      <c r="H496" s="727"/>
      <c r="I496" s="727"/>
      <c r="J496" s="491"/>
      <c r="K496" s="404"/>
      <c r="L496" s="491">
        <f t="shared" si="91"/>
        <v>0</v>
      </c>
      <c r="M496" s="491">
        <f t="shared" si="92"/>
        <v>0</v>
      </c>
      <c r="N496" s="491">
        <f t="shared" si="93"/>
        <v>0</v>
      </c>
      <c r="O496" s="491">
        <f t="shared" si="94"/>
        <v>0</v>
      </c>
      <c r="P496" s="507">
        <f t="shared" si="95"/>
        <v>0</v>
      </c>
    </row>
    <row r="497" spans="1:16" ht="15.75">
      <c r="A497" s="260"/>
      <c r="B497" s="721"/>
      <c r="C497" s="498" t="s">
        <v>234</v>
      </c>
      <c r="D497" s="499"/>
      <c r="E497" s="502"/>
      <c r="F497" s="503"/>
      <c r="G497" s="726"/>
      <c r="H497" s="491"/>
      <c r="I497" s="491"/>
      <c r="J497" s="491"/>
      <c r="K497" s="404"/>
      <c r="L497" s="491">
        <f t="shared" si="91"/>
        <v>0</v>
      </c>
      <c r="M497" s="491">
        <f t="shared" si="92"/>
        <v>0</v>
      </c>
      <c r="N497" s="491">
        <f t="shared" si="93"/>
        <v>0</v>
      </c>
      <c r="O497" s="491">
        <f t="shared" si="94"/>
        <v>0</v>
      </c>
      <c r="P497" s="507">
        <f t="shared" si="95"/>
        <v>0</v>
      </c>
    </row>
    <row r="498" spans="1:16" ht="18">
      <c r="A498" s="260"/>
      <c r="B498" s="721"/>
      <c r="C498" s="498" t="s">
        <v>236</v>
      </c>
      <c r="D498" s="499"/>
      <c r="E498" s="502"/>
      <c r="F498" s="503"/>
      <c r="G498" s="489" t="s">
        <v>273</v>
      </c>
      <c r="H498" s="491">
        <v>1434.18</v>
      </c>
      <c r="I498" s="491">
        <v>72.959999999999994</v>
      </c>
      <c r="J498" s="491">
        <f>67.84+3.2</f>
        <v>71.040000000000006</v>
      </c>
      <c r="K498" s="404">
        <v>0</v>
      </c>
      <c r="L498" s="491">
        <f t="shared" si="91"/>
        <v>71.040000000000006</v>
      </c>
      <c r="M498" s="491">
        <f t="shared" si="92"/>
        <v>104637.77279999999</v>
      </c>
      <c r="N498" s="491">
        <f t="shared" si="93"/>
        <v>101884.14720000001</v>
      </c>
      <c r="O498" s="491">
        <f t="shared" si="94"/>
        <v>0</v>
      </c>
      <c r="P498" s="507">
        <f t="shared" si="95"/>
        <v>101884.14720000001</v>
      </c>
    </row>
    <row r="499" spans="1:16" ht="18">
      <c r="A499" s="260"/>
      <c r="B499" s="721"/>
      <c r="C499" s="498" t="s">
        <v>261</v>
      </c>
      <c r="D499" s="499"/>
      <c r="E499" s="502"/>
      <c r="F499" s="503"/>
      <c r="G499" s="489" t="s">
        <v>273</v>
      </c>
      <c r="H499" s="491">
        <v>1434.18</v>
      </c>
      <c r="I499" s="491">
        <v>77.17</v>
      </c>
      <c r="J499" s="491">
        <f>98.99+3.55</f>
        <v>102.53999999999999</v>
      </c>
      <c r="K499" s="404">
        <v>0</v>
      </c>
      <c r="L499" s="491">
        <f t="shared" si="91"/>
        <v>102.53999999999999</v>
      </c>
      <c r="M499" s="491">
        <f t="shared" si="92"/>
        <v>110675.67060000001</v>
      </c>
      <c r="N499" s="491">
        <f t="shared" si="93"/>
        <v>147060.81719999999</v>
      </c>
      <c r="O499" s="491">
        <f t="shared" si="94"/>
        <v>0</v>
      </c>
      <c r="P499" s="507">
        <f t="shared" si="95"/>
        <v>147060.81719999999</v>
      </c>
    </row>
    <row r="500" spans="1:16" ht="15.75">
      <c r="A500" s="260"/>
      <c r="B500" s="721"/>
      <c r="C500" s="498"/>
      <c r="D500" s="499"/>
      <c r="E500" s="502"/>
      <c r="F500" s="503"/>
      <c r="G500" s="726"/>
      <c r="H500" s="491"/>
      <c r="I500" s="491"/>
      <c r="J500" s="491"/>
      <c r="K500" s="404"/>
      <c r="L500" s="491">
        <f t="shared" si="91"/>
        <v>0</v>
      </c>
      <c r="M500" s="491">
        <f t="shared" si="92"/>
        <v>0</v>
      </c>
      <c r="N500" s="491">
        <f t="shared" si="93"/>
        <v>0</v>
      </c>
      <c r="O500" s="491">
        <f t="shared" si="94"/>
        <v>0</v>
      </c>
      <c r="P500" s="507">
        <f t="shared" si="95"/>
        <v>0</v>
      </c>
    </row>
    <row r="501" spans="1:16" ht="15.75">
      <c r="A501" s="260"/>
      <c r="B501" s="721" t="s">
        <v>257</v>
      </c>
      <c r="C501" s="498" t="s">
        <v>239</v>
      </c>
      <c r="D501" s="499"/>
      <c r="E501" s="502"/>
      <c r="F501" s="503"/>
      <c r="G501" s="726"/>
      <c r="H501" s="491"/>
      <c r="I501" s="491"/>
      <c r="J501" s="491"/>
      <c r="K501" s="404"/>
      <c r="L501" s="491">
        <f t="shared" si="91"/>
        <v>0</v>
      </c>
      <c r="M501" s="491">
        <f t="shared" si="92"/>
        <v>0</v>
      </c>
      <c r="N501" s="491">
        <f t="shared" si="93"/>
        <v>0</v>
      </c>
      <c r="O501" s="491">
        <f t="shared" si="94"/>
        <v>0</v>
      </c>
      <c r="P501" s="507">
        <f t="shared" si="95"/>
        <v>0</v>
      </c>
    </row>
    <row r="502" spans="1:16" ht="15.75">
      <c r="A502" s="260"/>
      <c r="B502" s="721"/>
      <c r="C502" s="498" t="s">
        <v>240</v>
      </c>
      <c r="D502" s="499"/>
      <c r="E502" s="502"/>
      <c r="F502" s="503"/>
      <c r="G502" s="726"/>
      <c r="H502" s="491"/>
      <c r="I502" s="491"/>
      <c r="J502" s="491"/>
      <c r="K502" s="404"/>
      <c r="L502" s="491">
        <f t="shared" si="91"/>
        <v>0</v>
      </c>
      <c r="M502" s="491">
        <f t="shared" si="92"/>
        <v>0</v>
      </c>
      <c r="N502" s="491">
        <f t="shared" si="93"/>
        <v>0</v>
      </c>
      <c r="O502" s="491">
        <f t="shared" si="94"/>
        <v>0</v>
      </c>
      <c r="P502" s="507">
        <f t="shared" si="95"/>
        <v>0</v>
      </c>
    </row>
    <row r="503" spans="1:16" ht="18">
      <c r="A503" s="260"/>
      <c r="B503" s="721"/>
      <c r="C503" s="498" t="s">
        <v>242</v>
      </c>
      <c r="D503" s="499"/>
      <c r="E503" s="502"/>
      <c r="F503" s="503"/>
      <c r="G503" s="489" t="s">
        <v>275</v>
      </c>
      <c r="H503" s="491">
        <v>58.19</v>
      </c>
      <c r="I503" s="491">
        <v>49.76</v>
      </c>
      <c r="J503" s="491">
        <f>73.52+7.29</f>
        <v>80.81</v>
      </c>
      <c r="K503" s="404">
        <v>0</v>
      </c>
      <c r="L503" s="491">
        <f t="shared" si="91"/>
        <v>80.81</v>
      </c>
      <c r="M503" s="491">
        <f t="shared" si="92"/>
        <v>2895.5343999999996</v>
      </c>
      <c r="N503" s="491">
        <f t="shared" si="93"/>
        <v>4702.3338999999996</v>
      </c>
      <c r="O503" s="491">
        <f t="shared" si="94"/>
        <v>0</v>
      </c>
      <c r="P503" s="507">
        <f t="shared" si="95"/>
        <v>4702.3338999999996</v>
      </c>
    </row>
    <row r="504" spans="1:16" ht="18">
      <c r="A504" s="260"/>
      <c r="B504" s="721"/>
      <c r="C504" s="498" t="s">
        <v>261</v>
      </c>
      <c r="D504" s="499"/>
      <c r="E504" s="502"/>
      <c r="F504" s="503"/>
      <c r="G504" s="489" t="s">
        <v>275</v>
      </c>
      <c r="H504" s="491">
        <v>58.19</v>
      </c>
      <c r="I504" s="491">
        <v>514.48</v>
      </c>
      <c r="J504" s="491">
        <f>627.12+13.67</f>
        <v>640.79</v>
      </c>
      <c r="K504" s="404">
        <v>0</v>
      </c>
      <c r="L504" s="491">
        <f t="shared" si="91"/>
        <v>640.79</v>
      </c>
      <c r="M504" s="491">
        <f t="shared" si="92"/>
        <v>29937.591199999999</v>
      </c>
      <c r="N504" s="491">
        <f t="shared" si="93"/>
        <v>37287.570099999997</v>
      </c>
      <c r="O504" s="491">
        <f t="shared" si="94"/>
        <v>0</v>
      </c>
      <c r="P504" s="507">
        <f t="shared" si="95"/>
        <v>37287.570099999997</v>
      </c>
    </row>
    <row r="505" spans="1:16" ht="15.75">
      <c r="A505" s="260"/>
      <c r="B505" s="721"/>
      <c r="C505" s="498"/>
      <c r="D505" s="499"/>
      <c r="E505" s="502"/>
      <c r="F505" s="503"/>
      <c r="G505" s="726"/>
      <c r="H505" s="491"/>
      <c r="I505" s="491"/>
      <c r="J505" s="491"/>
      <c r="K505" s="404"/>
      <c r="L505" s="491">
        <f t="shared" si="91"/>
        <v>0</v>
      </c>
      <c r="M505" s="491">
        <f t="shared" si="92"/>
        <v>0</v>
      </c>
      <c r="N505" s="491">
        <f t="shared" si="93"/>
        <v>0</v>
      </c>
      <c r="O505" s="491">
        <f t="shared" si="94"/>
        <v>0</v>
      </c>
      <c r="P505" s="507">
        <f t="shared" si="95"/>
        <v>0</v>
      </c>
    </row>
    <row r="506" spans="1:16" ht="15.75">
      <c r="A506" s="260"/>
      <c r="B506" s="721" t="s">
        <v>258</v>
      </c>
      <c r="C506" s="498" t="s">
        <v>243</v>
      </c>
      <c r="D506" s="499"/>
      <c r="E506" s="502"/>
      <c r="F506" s="503"/>
      <c r="G506" s="726"/>
      <c r="H506" s="491"/>
      <c r="I506" s="491"/>
      <c r="J506" s="491"/>
      <c r="K506" s="404"/>
      <c r="L506" s="491">
        <f t="shared" si="91"/>
        <v>0</v>
      </c>
      <c r="M506" s="491">
        <f t="shared" si="92"/>
        <v>0</v>
      </c>
      <c r="N506" s="491">
        <f t="shared" si="93"/>
        <v>0</v>
      </c>
      <c r="O506" s="491">
        <f t="shared" si="94"/>
        <v>0</v>
      </c>
      <c r="P506" s="507">
        <f t="shared" si="95"/>
        <v>0</v>
      </c>
    </row>
    <row r="507" spans="1:16" ht="15.75">
      <c r="A507" s="260"/>
      <c r="B507" s="721"/>
      <c r="C507" s="498" t="s">
        <v>244</v>
      </c>
      <c r="D507" s="499"/>
      <c r="E507" s="502"/>
      <c r="F507" s="503"/>
      <c r="G507" s="726"/>
      <c r="H507" s="491"/>
      <c r="I507" s="491"/>
      <c r="J507" s="491"/>
      <c r="K507" s="404"/>
      <c r="L507" s="491">
        <f t="shared" si="91"/>
        <v>0</v>
      </c>
      <c r="M507" s="491">
        <f t="shared" si="92"/>
        <v>0</v>
      </c>
      <c r="N507" s="491">
        <f t="shared" si="93"/>
        <v>0</v>
      </c>
      <c r="O507" s="491">
        <f t="shared" si="94"/>
        <v>0</v>
      </c>
      <c r="P507" s="507">
        <f t="shared" si="95"/>
        <v>0</v>
      </c>
    </row>
    <row r="508" spans="1:16" ht="15.75">
      <c r="A508" s="260"/>
      <c r="B508" s="721"/>
      <c r="C508" s="498" t="s">
        <v>245</v>
      </c>
      <c r="D508" s="499"/>
      <c r="E508" s="502"/>
      <c r="F508" s="503"/>
      <c r="G508" s="489" t="s">
        <v>103</v>
      </c>
      <c r="H508" s="491">
        <v>2.02</v>
      </c>
      <c r="I508" s="491">
        <v>7153.37</v>
      </c>
      <c r="J508" s="491">
        <f>7742.65+126.1</f>
        <v>7868.75</v>
      </c>
      <c r="K508" s="404">
        <v>0</v>
      </c>
      <c r="L508" s="491">
        <f t="shared" si="91"/>
        <v>7868.75</v>
      </c>
      <c r="M508" s="491">
        <f t="shared" si="92"/>
        <v>14449.8074</v>
      </c>
      <c r="N508" s="491">
        <f t="shared" si="93"/>
        <v>15894.875</v>
      </c>
      <c r="O508" s="491">
        <f t="shared" si="94"/>
        <v>0</v>
      </c>
      <c r="P508" s="507">
        <f t="shared" si="95"/>
        <v>15894.875</v>
      </c>
    </row>
    <row r="509" spans="1:16" ht="15.75">
      <c r="A509" s="260"/>
      <c r="B509" s="721"/>
      <c r="C509" s="498" t="s">
        <v>262</v>
      </c>
      <c r="D509" s="499"/>
      <c r="E509" s="502"/>
      <c r="F509" s="503"/>
      <c r="G509" s="489" t="s">
        <v>103</v>
      </c>
      <c r="H509" s="491">
        <v>2.02</v>
      </c>
      <c r="I509" s="491">
        <v>12401.91</v>
      </c>
      <c r="J509" s="491">
        <f>13518.79+527.37</f>
        <v>14046.160000000002</v>
      </c>
      <c r="K509" s="404">
        <v>0</v>
      </c>
      <c r="L509" s="491">
        <f t="shared" si="91"/>
        <v>14046.160000000002</v>
      </c>
      <c r="M509" s="491">
        <f t="shared" si="92"/>
        <v>25051.858199999999</v>
      </c>
      <c r="N509" s="491">
        <f t="shared" si="93"/>
        <v>28373.243200000004</v>
      </c>
      <c r="O509" s="491">
        <f t="shared" si="94"/>
        <v>0</v>
      </c>
      <c r="P509" s="507">
        <f t="shared" si="95"/>
        <v>28373.243200000004</v>
      </c>
    </row>
    <row r="510" spans="1:16" ht="15.75">
      <c r="A510" s="260"/>
      <c r="B510" s="721"/>
      <c r="C510" s="498" t="s">
        <v>246</v>
      </c>
      <c r="D510" s="499"/>
      <c r="E510" s="502"/>
      <c r="F510" s="503"/>
      <c r="G510" s="489" t="s">
        <v>103</v>
      </c>
      <c r="H510" s="491">
        <v>2.02</v>
      </c>
      <c r="I510" s="491">
        <v>29.82</v>
      </c>
      <c r="J510" s="491"/>
      <c r="K510" s="404"/>
      <c r="L510" s="491">
        <f t="shared" si="91"/>
        <v>0</v>
      </c>
      <c r="M510" s="491">
        <f t="shared" si="92"/>
        <v>60.236400000000003</v>
      </c>
      <c r="N510" s="491">
        <f t="shared" si="93"/>
        <v>0</v>
      </c>
      <c r="O510" s="491">
        <f t="shared" si="94"/>
        <v>0</v>
      </c>
      <c r="P510" s="507">
        <f t="shared" si="95"/>
        <v>0</v>
      </c>
    </row>
    <row r="511" spans="1:16" ht="15.75">
      <c r="A511" s="260"/>
      <c r="B511" s="721"/>
      <c r="C511" s="498"/>
      <c r="D511" s="499"/>
      <c r="E511" s="502"/>
      <c r="F511" s="503"/>
      <c r="G511" s="489"/>
      <c r="H511" s="491"/>
      <c r="I511" s="491"/>
      <c r="J511" s="491"/>
      <c r="K511" s="404"/>
      <c r="L511" s="491">
        <f t="shared" si="91"/>
        <v>0</v>
      </c>
      <c r="M511" s="491">
        <f t="shared" si="92"/>
        <v>0</v>
      </c>
      <c r="N511" s="491">
        <f t="shared" si="93"/>
        <v>0</v>
      </c>
      <c r="O511" s="491">
        <f t="shared" si="94"/>
        <v>0</v>
      </c>
      <c r="P511" s="507">
        <f t="shared" si="95"/>
        <v>0</v>
      </c>
    </row>
    <row r="512" spans="1:16" ht="15.75">
      <c r="A512" s="260"/>
      <c r="B512" s="721" t="s">
        <v>259</v>
      </c>
      <c r="C512" s="498" t="s">
        <v>247</v>
      </c>
      <c r="D512" s="499"/>
      <c r="E512" s="502"/>
      <c r="F512" s="503"/>
      <c r="G512" s="726"/>
      <c r="H512" s="491"/>
      <c r="I512" s="491"/>
      <c r="J512" s="491"/>
      <c r="K512" s="404"/>
      <c r="L512" s="491">
        <f t="shared" si="91"/>
        <v>0</v>
      </c>
      <c r="M512" s="491">
        <f t="shared" si="92"/>
        <v>0</v>
      </c>
      <c r="N512" s="491">
        <f t="shared" si="93"/>
        <v>0</v>
      </c>
      <c r="O512" s="491">
        <f t="shared" si="94"/>
        <v>0</v>
      </c>
      <c r="P512" s="507">
        <f t="shared" si="95"/>
        <v>0</v>
      </c>
    </row>
    <row r="513" spans="1:16" ht="15.75">
      <c r="A513" s="260"/>
      <c r="B513" s="721"/>
      <c r="C513" s="498" t="s">
        <v>248</v>
      </c>
      <c r="D513" s="499"/>
      <c r="E513" s="502"/>
      <c r="F513" s="503"/>
      <c r="G513" s="489" t="s">
        <v>254</v>
      </c>
      <c r="H513" s="491">
        <v>35</v>
      </c>
      <c r="I513" s="491">
        <v>46.2</v>
      </c>
      <c r="J513" s="491">
        <v>204.8</v>
      </c>
      <c r="K513" s="404"/>
      <c r="L513" s="491">
        <f t="shared" si="91"/>
        <v>204.8</v>
      </c>
      <c r="M513" s="491">
        <f t="shared" si="92"/>
        <v>1617</v>
      </c>
      <c r="N513" s="491">
        <f t="shared" si="93"/>
        <v>7168</v>
      </c>
      <c r="O513" s="491">
        <f t="shared" si="94"/>
        <v>0</v>
      </c>
      <c r="P513" s="507">
        <f t="shared" si="95"/>
        <v>7168</v>
      </c>
    </row>
    <row r="514" spans="1:16" ht="15.75">
      <c r="A514" s="260"/>
      <c r="B514" s="721"/>
      <c r="C514" s="498"/>
      <c r="D514" s="499"/>
      <c r="E514" s="502"/>
      <c r="F514" s="503"/>
      <c r="G514" s="726"/>
      <c r="H514" s="491"/>
      <c r="I514" s="491"/>
      <c r="J514" s="491"/>
      <c r="K514" s="404"/>
      <c r="L514" s="491">
        <f t="shared" si="91"/>
        <v>0</v>
      </c>
      <c r="M514" s="491">
        <f t="shared" si="92"/>
        <v>0</v>
      </c>
      <c r="N514" s="491">
        <f t="shared" si="93"/>
        <v>0</v>
      </c>
      <c r="O514" s="491">
        <f t="shared" si="94"/>
        <v>0</v>
      </c>
      <c r="P514" s="507">
        <f t="shared" si="95"/>
        <v>0</v>
      </c>
    </row>
    <row r="515" spans="1:16" ht="15.75">
      <c r="A515" s="260"/>
      <c r="B515" s="721" t="s">
        <v>260</v>
      </c>
      <c r="C515" s="498" t="s">
        <v>249</v>
      </c>
      <c r="D515" s="499"/>
      <c r="E515" s="502"/>
      <c r="F515" s="503"/>
      <c r="G515" s="726"/>
      <c r="H515" s="491"/>
      <c r="I515" s="491"/>
      <c r="J515" s="491"/>
      <c r="K515" s="404"/>
      <c r="L515" s="491">
        <f t="shared" si="91"/>
        <v>0</v>
      </c>
      <c r="M515" s="491">
        <f t="shared" si="92"/>
        <v>0</v>
      </c>
      <c r="N515" s="491">
        <f t="shared" si="93"/>
        <v>0</v>
      </c>
      <c r="O515" s="491">
        <f t="shared" si="94"/>
        <v>0</v>
      </c>
      <c r="P515" s="507">
        <f t="shared" si="95"/>
        <v>0</v>
      </c>
    </row>
    <row r="516" spans="1:16" ht="15.75">
      <c r="A516" s="260"/>
      <c r="B516" s="721"/>
      <c r="C516" s="498" t="s">
        <v>250</v>
      </c>
      <c r="D516" s="499"/>
      <c r="E516" s="502"/>
      <c r="F516" s="503"/>
      <c r="G516" s="489" t="s">
        <v>254</v>
      </c>
      <c r="H516" s="491">
        <v>235</v>
      </c>
      <c r="I516" s="491">
        <v>32</v>
      </c>
      <c r="J516" s="491">
        <f>794.88+5.9</f>
        <v>800.78</v>
      </c>
      <c r="K516" s="404">
        <v>0</v>
      </c>
      <c r="L516" s="491">
        <f t="shared" si="91"/>
        <v>800.78</v>
      </c>
      <c r="M516" s="491">
        <f t="shared" si="92"/>
        <v>7520</v>
      </c>
      <c r="N516" s="491">
        <f t="shared" si="93"/>
        <v>188183.3</v>
      </c>
      <c r="O516" s="491">
        <f t="shared" si="94"/>
        <v>0</v>
      </c>
      <c r="P516" s="507">
        <f>H516*L516</f>
        <v>188183.3</v>
      </c>
    </row>
    <row r="517" spans="1:16" ht="15.75">
      <c r="A517" s="260"/>
      <c r="B517" s="721"/>
      <c r="C517" s="498"/>
      <c r="D517" s="499"/>
      <c r="E517" s="502"/>
      <c r="F517" s="503"/>
      <c r="G517" s="489"/>
      <c r="H517" s="491"/>
      <c r="I517" s="491"/>
      <c r="J517" s="491"/>
      <c r="K517" s="404"/>
      <c r="L517" s="491"/>
      <c r="M517" s="491"/>
      <c r="N517" s="491"/>
      <c r="O517" s="491"/>
      <c r="P517" s="507"/>
    </row>
    <row r="518" spans="1:16" ht="15.75">
      <c r="A518" s="260"/>
      <c r="B518" s="118"/>
      <c r="C518" s="128" t="s">
        <v>1384</v>
      </c>
      <c r="D518" s="129"/>
      <c r="E518" s="133"/>
      <c r="F518" s="141"/>
      <c r="G518" s="399"/>
      <c r="H518" s="120"/>
      <c r="I518" s="417"/>
      <c r="J518" s="120"/>
      <c r="K518" s="404"/>
      <c r="L518" s="120"/>
      <c r="M518" s="120"/>
      <c r="N518" s="120"/>
      <c r="O518" s="404"/>
      <c r="P518" s="121"/>
    </row>
    <row r="519" spans="1:16" ht="15.75">
      <c r="A519" s="260"/>
      <c r="B519" s="118" t="s">
        <v>1385</v>
      </c>
      <c r="C519" s="132" t="s">
        <v>1386</v>
      </c>
      <c r="D519" s="129"/>
      <c r="E519" s="133"/>
      <c r="F519" s="141"/>
      <c r="G519" s="399"/>
      <c r="H519" s="120"/>
      <c r="I519" s="417"/>
      <c r="J519" s="120"/>
      <c r="K519" s="404"/>
      <c r="L519" s="120"/>
      <c r="M519" s="120"/>
      <c r="N519" s="120"/>
      <c r="O519" s="404"/>
      <c r="P519" s="121"/>
    </row>
    <row r="520" spans="1:16" ht="15.75">
      <c r="A520" s="260"/>
      <c r="C520" s="1433" t="s">
        <v>1387</v>
      </c>
      <c r="D520" s="1359"/>
      <c r="E520" s="1359"/>
      <c r="F520" s="1360"/>
      <c r="G520" s="399"/>
      <c r="H520" s="120"/>
      <c r="I520" s="417"/>
      <c r="J520" s="120"/>
      <c r="K520" s="404"/>
      <c r="L520" s="120"/>
      <c r="M520" s="120"/>
      <c r="N520" s="120"/>
      <c r="O520" s="404"/>
      <c r="P520" s="121"/>
    </row>
    <row r="521" spans="1:16" ht="18">
      <c r="A521" s="260"/>
      <c r="B521" s="118"/>
      <c r="C521" s="132" t="s">
        <v>1388</v>
      </c>
      <c r="D521" s="129"/>
      <c r="E521" s="133"/>
      <c r="F521" s="141"/>
      <c r="G521" s="399" t="s">
        <v>273</v>
      </c>
      <c r="H521" s="120">
        <v>537.21</v>
      </c>
      <c r="I521" s="417">
        <v>101</v>
      </c>
      <c r="J521" s="120"/>
      <c r="K521" s="404">
        <v>101</v>
      </c>
      <c r="L521" s="120">
        <f>K521+J521</f>
        <v>101</v>
      </c>
      <c r="M521" s="120">
        <f t="shared" ref="M521:M522" si="101">H521*I521</f>
        <v>54258.210000000006</v>
      </c>
      <c r="N521" s="120">
        <f t="shared" ref="N521:N522" si="102">H521*J521</f>
        <v>0</v>
      </c>
      <c r="O521" s="404">
        <f t="shared" ref="O521:O522" si="103">H521*K521</f>
        <v>54258.210000000006</v>
      </c>
      <c r="P521" s="457">
        <f>L521*H521</f>
        <v>54258.210000000006</v>
      </c>
    </row>
    <row r="522" spans="1:16" ht="18">
      <c r="A522" s="260"/>
      <c r="B522" s="118"/>
      <c r="C522" s="132" t="s">
        <v>1389</v>
      </c>
      <c r="D522" s="129"/>
      <c r="E522" s="133"/>
      <c r="F522" s="141"/>
      <c r="G522" s="399" t="s">
        <v>273</v>
      </c>
      <c r="H522" s="120">
        <v>537.21</v>
      </c>
      <c r="I522" s="417">
        <v>30.3</v>
      </c>
      <c r="J522" s="120"/>
      <c r="K522" s="404">
        <v>30.3</v>
      </c>
      <c r="L522" s="120">
        <f>K522+J522</f>
        <v>30.3</v>
      </c>
      <c r="M522" s="120">
        <f t="shared" si="101"/>
        <v>16277.463000000002</v>
      </c>
      <c r="N522" s="120">
        <f t="shared" si="102"/>
        <v>0</v>
      </c>
      <c r="O522" s="404">
        <f t="shared" si="103"/>
        <v>16277.463000000002</v>
      </c>
      <c r="P522" s="457">
        <f>L522*H522</f>
        <v>16277.463000000002</v>
      </c>
    </row>
    <row r="523" spans="1:16" ht="15.75">
      <c r="A523" s="260"/>
      <c r="B523" s="118"/>
      <c r="C523" s="132"/>
      <c r="D523" s="129"/>
      <c r="E523" s="133"/>
      <c r="F523" s="141"/>
      <c r="G523" s="399"/>
      <c r="H523" s="120"/>
      <c r="I523" s="417"/>
      <c r="J523" s="120"/>
      <c r="K523" s="404"/>
      <c r="L523" s="120"/>
      <c r="M523" s="120"/>
      <c r="N523" s="120"/>
      <c r="O523" s="404"/>
      <c r="P523" s="121"/>
    </row>
    <row r="524" spans="1:16" ht="15.75">
      <c r="A524" s="260"/>
      <c r="B524" s="721"/>
      <c r="C524" s="498"/>
      <c r="D524" s="499"/>
      <c r="E524" s="502"/>
      <c r="F524" s="503"/>
      <c r="G524" s="489"/>
      <c r="H524" s="491"/>
      <c r="I524" s="491"/>
      <c r="J524" s="491"/>
      <c r="K524" s="404"/>
      <c r="L524" s="491"/>
      <c r="M524" s="491"/>
      <c r="N524" s="491"/>
      <c r="O524" s="491"/>
      <c r="P524" s="507"/>
    </row>
    <row r="525" spans="1:16" s="413" customFormat="1" ht="18">
      <c r="A525" s="433"/>
      <c r="B525" s="722"/>
      <c r="C525" s="501"/>
      <c r="D525" s="502"/>
      <c r="E525" s="502"/>
      <c r="F525" s="503" t="s">
        <v>565</v>
      </c>
      <c r="G525" s="726"/>
      <c r="H525" s="491"/>
      <c r="I525" s="491"/>
      <c r="J525" s="727"/>
      <c r="K525" s="408"/>
      <c r="L525" s="727"/>
      <c r="M525" s="737">
        <f>SUM(M465:M516)</f>
        <v>407271.67540000007</v>
      </c>
      <c r="N525" s="737">
        <f>SUM(N465:N516)</f>
        <v>870793.75450000004</v>
      </c>
      <c r="O525" s="737">
        <f>SUM(O521:O524)</f>
        <v>70535.67300000001</v>
      </c>
      <c r="P525" s="738">
        <f>SUM(P465:P516)</f>
        <v>870793.75450000004</v>
      </c>
    </row>
    <row r="526" spans="1:16" ht="20.25">
      <c r="A526" s="260"/>
      <c r="B526" s="721"/>
      <c r="C526" s="495" t="s">
        <v>699</v>
      </c>
      <c r="D526" s="496"/>
      <c r="E526" s="496"/>
      <c r="F526" s="497"/>
      <c r="G526" s="728"/>
      <c r="H526" s="727"/>
      <c r="I526" s="491"/>
      <c r="J526" s="491"/>
      <c r="K526" s="404"/>
      <c r="L526" s="491"/>
      <c r="M526" s="491"/>
      <c r="N526" s="491"/>
      <c r="O526" s="491"/>
      <c r="P526" s="507"/>
    </row>
    <row r="527" spans="1:16" ht="15.75">
      <c r="A527" s="260"/>
      <c r="B527" s="721"/>
      <c r="C527" s="498"/>
      <c r="D527" s="499"/>
      <c r="E527" s="499"/>
      <c r="F527" s="500"/>
      <c r="G527" s="723"/>
      <c r="H527" s="491"/>
      <c r="I527" s="491"/>
      <c r="J527" s="491"/>
      <c r="K527" s="404"/>
      <c r="L527" s="491"/>
      <c r="M527" s="491"/>
      <c r="N527" s="491"/>
      <c r="O527" s="491"/>
      <c r="P527" s="507"/>
    </row>
    <row r="528" spans="1:16" ht="15.75">
      <c r="A528" s="260"/>
      <c r="B528" s="721"/>
      <c r="C528" s="501" t="s">
        <v>136</v>
      </c>
      <c r="D528" s="502"/>
      <c r="E528" s="502"/>
      <c r="F528" s="503"/>
      <c r="G528" s="728"/>
      <c r="H528" s="727"/>
      <c r="I528" s="491"/>
      <c r="J528" s="491"/>
      <c r="K528" s="404"/>
      <c r="L528" s="491"/>
      <c r="M528" s="491"/>
      <c r="N528" s="491"/>
      <c r="O528" s="491"/>
      <c r="P528" s="507"/>
    </row>
    <row r="529" spans="1:16" ht="15.75">
      <c r="A529" s="260"/>
      <c r="B529" s="721"/>
      <c r="C529" s="501"/>
      <c r="D529" s="502"/>
      <c r="E529" s="502"/>
      <c r="F529" s="503"/>
      <c r="G529" s="723"/>
      <c r="H529" s="491"/>
      <c r="I529" s="491"/>
      <c r="J529" s="491"/>
      <c r="K529" s="404"/>
      <c r="L529" s="491"/>
      <c r="M529" s="491"/>
      <c r="N529" s="491"/>
      <c r="O529" s="491"/>
      <c r="P529" s="507"/>
    </row>
    <row r="530" spans="1:16" ht="18">
      <c r="A530" s="260"/>
      <c r="B530" s="721" t="s">
        <v>153</v>
      </c>
      <c r="C530" s="498" t="s">
        <v>316</v>
      </c>
      <c r="D530" s="499"/>
      <c r="E530" s="499"/>
      <c r="F530" s="500"/>
      <c r="G530" s="489" t="s">
        <v>273</v>
      </c>
      <c r="H530" s="491">
        <v>26.11</v>
      </c>
      <c r="I530" s="491">
        <v>358.44</v>
      </c>
      <c r="J530" s="491">
        <f>1184.22+12</f>
        <v>1196.22</v>
      </c>
      <c r="K530" s="404">
        <v>0</v>
      </c>
      <c r="L530" s="491">
        <f>J530+K530</f>
        <v>1196.22</v>
      </c>
      <c r="M530" s="491">
        <f>H530*I530</f>
        <v>9358.8683999999994</v>
      </c>
      <c r="N530" s="491">
        <f>H530*J530</f>
        <v>31233.304199999999</v>
      </c>
      <c r="O530" s="491">
        <f>H530*K530</f>
        <v>0</v>
      </c>
      <c r="P530" s="507">
        <f>H530*L530</f>
        <v>31233.304199999999</v>
      </c>
    </row>
    <row r="531" spans="1:16" ht="15.75">
      <c r="A531" s="260"/>
      <c r="B531" s="721"/>
      <c r="C531" s="498"/>
      <c r="D531" s="499"/>
      <c r="E531" s="499"/>
      <c r="F531" s="500"/>
      <c r="G531" s="489"/>
      <c r="H531" s="491"/>
      <c r="I531" s="491"/>
      <c r="J531" s="491"/>
      <c r="K531" s="404"/>
      <c r="L531" s="491"/>
      <c r="M531" s="491"/>
      <c r="N531" s="491"/>
      <c r="O531" s="491"/>
      <c r="P531" s="507"/>
    </row>
    <row r="532" spans="1:16" ht="15.75">
      <c r="A532" s="260"/>
      <c r="B532" s="721" t="s">
        <v>494</v>
      </c>
      <c r="C532" s="729" t="s">
        <v>493</v>
      </c>
      <c r="D532" s="729"/>
      <c r="E532" s="729"/>
      <c r="F532" s="730"/>
      <c r="G532" s="489" t="s">
        <v>141</v>
      </c>
      <c r="H532" s="491">
        <v>48.12</v>
      </c>
      <c r="I532" s="491">
        <v>0</v>
      </c>
      <c r="J532" s="491">
        <v>1184.22</v>
      </c>
      <c r="K532" s="404"/>
      <c r="L532" s="491">
        <f t="shared" ref="L532:L536" si="104">J532+K532</f>
        <v>1184.22</v>
      </c>
      <c r="M532" s="491">
        <f>H532*I532</f>
        <v>0</v>
      </c>
      <c r="N532" s="491">
        <f>H532*J532</f>
        <v>56984.666400000002</v>
      </c>
      <c r="O532" s="491">
        <f t="shared" ref="O532:O537" si="105">H532*K532</f>
        <v>0</v>
      </c>
      <c r="P532" s="507">
        <f>H532*L532</f>
        <v>56984.666400000002</v>
      </c>
    </row>
    <row r="533" spans="1:16" ht="15.75">
      <c r="A533" s="260"/>
      <c r="B533" s="721"/>
      <c r="C533" s="498"/>
      <c r="D533" s="499"/>
      <c r="E533" s="499"/>
      <c r="F533" s="500"/>
      <c r="G533" s="723"/>
      <c r="H533" s="491"/>
      <c r="I533" s="491"/>
      <c r="J533" s="491"/>
      <c r="K533" s="404"/>
      <c r="L533" s="491">
        <f t="shared" si="104"/>
        <v>0</v>
      </c>
      <c r="M533" s="491"/>
      <c r="N533" s="491">
        <f t="shared" ref="N533:N581" si="106">H533*J533</f>
        <v>0</v>
      </c>
      <c r="O533" s="491">
        <f t="shared" si="105"/>
        <v>0</v>
      </c>
      <c r="P533" s="507">
        <f t="shared" ref="P533:P550" si="107">H533*L533</f>
        <v>0</v>
      </c>
    </row>
    <row r="534" spans="1:16" ht="15.75">
      <c r="A534" s="260"/>
      <c r="B534" s="721" t="s">
        <v>494</v>
      </c>
      <c r="C534" s="729" t="s">
        <v>700</v>
      </c>
      <c r="D534" s="729"/>
      <c r="E534" s="729"/>
      <c r="F534" s="730"/>
      <c r="G534" s="489" t="s">
        <v>141</v>
      </c>
      <c r="H534" s="489">
        <v>72.180000000000007</v>
      </c>
      <c r="I534" s="491"/>
      <c r="J534" s="491">
        <v>1026.32</v>
      </c>
      <c r="K534" s="404"/>
      <c r="L534" s="491">
        <f t="shared" si="104"/>
        <v>1026.32</v>
      </c>
      <c r="M534" s="491"/>
      <c r="N534" s="491">
        <f>H534*J534</f>
        <v>74079.777600000001</v>
      </c>
      <c r="O534" s="491">
        <f t="shared" si="105"/>
        <v>0</v>
      </c>
      <c r="P534" s="507">
        <f t="shared" si="107"/>
        <v>74079.777600000001</v>
      </c>
    </row>
    <row r="535" spans="1:16" ht="15.75">
      <c r="A535" s="260"/>
      <c r="B535" s="721"/>
      <c r="C535" s="498"/>
      <c r="D535" s="499"/>
      <c r="E535" s="499"/>
      <c r="F535" s="500"/>
      <c r="G535" s="723"/>
      <c r="H535" s="491"/>
      <c r="I535" s="491"/>
      <c r="J535" s="491"/>
      <c r="K535" s="404"/>
      <c r="L535" s="491">
        <f t="shared" si="104"/>
        <v>0</v>
      </c>
      <c r="M535" s="491"/>
      <c r="N535" s="491">
        <f t="shared" si="106"/>
        <v>0</v>
      </c>
      <c r="O535" s="491">
        <f t="shared" si="105"/>
        <v>0</v>
      </c>
      <c r="P535" s="507">
        <f t="shared" si="107"/>
        <v>0</v>
      </c>
    </row>
    <row r="536" spans="1:16" ht="15.75">
      <c r="A536" s="260"/>
      <c r="B536" s="721" t="s">
        <v>154</v>
      </c>
      <c r="C536" s="498" t="s">
        <v>98</v>
      </c>
      <c r="D536" s="499"/>
      <c r="E536" s="499"/>
      <c r="F536" s="500"/>
      <c r="G536" s="723"/>
      <c r="H536" s="491"/>
      <c r="I536" s="491"/>
      <c r="J536" s="491"/>
      <c r="K536" s="404"/>
      <c r="L536" s="491">
        <f t="shared" si="104"/>
        <v>0</v>
      </c>
      <c r="M536" s="491"/>
      <c r="N536" s="491">
        <f t="shared" si="106"/>
        <v>0</v>
      </c>
      <c r="O536" s="491">
        <f t="shared" si="105"/>
        <v>0</v>
      </c>
      <c r="P536" s="507">
        <f t="shared" si="107"/>
        <v>0</v>
      </c>
    </row>
    <row r="537" spans="1:16" ht="18">
      <c r="A537" s="260"/>
      <c r="B537" s="721"/>
      <c r="C537" s="498" t="s">
        <v>137</v>
      </c>
      <c r="D537" s="499"/>
      <c r="E537" s="499"/>
      <c r="F537" s="500"/>
      <c r="G537" s="489" t="s">
        <v>273</v>
      </c>
      <c r="H537" s="491">
        <v>34.11</v>
      </c>
      <c r="I537" s="491">
        <v>54.72</v>
      </c>
      <c r="J537" s="491"/>
      <c r="K537" s="404"/>
      <c r="L537" s="491">
        <f>J537+K537</f>
        <v>0</v>
      </c>
      <c r="M537" s="491">
        <f>H537*I537</f>
        <v>1866.4992</v>
      </c>
      <c r="N537" s="491">
        <f t="shared" si="106"/>
        <v>0</v>
      </c>
      <c r="O537" s="491">
        <f t="shared" si="105"/>
        <v>0</v>
      </c>
      <c r="P537" s="507">
        <f t="shared" si="107"/>
        <v>0</v>
      </c>
    </row>
    <row r="538" spans="1:16" ht="15.75">
      <c r="A538" s="260"/>
      <c r="B538" s="721"/>
      <c r="C538" s="498"/>
      <c r="D538" s="499"/>
      <c r="E538" s="499"/>
      <c r="F538" s="500"/>
      <c r="G538" s="489"/>
      <c r="H538" s="491"/>
      <c r="I538" s="491"/>
      <c r="J538" s="491"/>
      <c r="K538" s="404"/>
      <c r="L538" s="491"/>
      <c r="M538" s="491"/>
      <c r="N538" s="491">
        <f t="shared" si="106"/>
        <v>0</v>
      </c>
      <c r="O538" s="491"/>
      <c r="P538" s="507">
        <f t="shared" si="107"/>
        <v>0</v>
      </c>
    </row>
    <row r="539" spans="1:16" ht="18">
      <c r="A539" s="260"/>
      <c r="B539" s="721" t="s">
        <v>496</v>
      </c>
      <c r="C539" s="498" t="s">
        <v>495</v>
      </c>
      <c r="D539" s="499"/>
      <c r="E539" s="499"/>
      <c r="F539" s="500"/>
      <c r="G539" s="489" t="s">
        <v>273</v>
      </c>
      <c r="H539" s="491">
        <v>34.11</v>
      </c>
      <c r="I539" s="491">
        <v>0</v>
      </c>
      <c r="J539" s="491"/>
      <c r="K539" s="404"/>
      <c r="L539" s="491">
        <f>J539+K539</f>
        <v>0</v>
      </c>
      <c r="M539" s="491">
        <f>H539*I539</f>
        <v>0</v>
      </c>
      <c r="N539" s="491">
        <f t="shared" si="106"/>
        <v>0</v>
      </c>
      <c r="O539" s="491">
        <f>H539*K539</f>
        <v>0</v>
      </c>
      <c r="P539" s="507">
        <f t="shared" si="107"/>
        <v>0</v>
      </c>
    </row>
    <row r="540" spans="1:16" ht="15.75">
      <c r="A540" s="260"/>
      <c r="B540" s="721"/>
      <c r="C540" s="498"/>
      <c r="D540" s="499"/>
      <c r="E540" s="499"/>
      <c r="F540" s="500"/>
      <c r="G540" s="489"/>
      <c r="H540" s="491"/>
      <c r="I540" s="491"/>
      <c r="J540" s="491"/>
      <c r="K540" s="404"/>
      <c r="L540" s="491"/>
      <c r="M540" s="491"/>
      <c r="N540" s="491"/>
      <c r="O540" s="491"/>
      <c r="P540" s="507"/>
    </row>
    <row r="541" spans="1:16" ht="15.75">
      <c r="A541" s="260"/>
      <c r="B541" s="721" t="s">
        <v>496</v>
      </c>
      <c r="C541" s="1422" t="s">
        <v>768</v>
      </c>
      <c r="D541" s="1423"/>
      <c r="E541" s="1423"/>
      <c r="F541" s="1424"/>
      <c r="G541" s="489"/>
      <c r="H541" s="491"/>
      <c r="I541" s="491"/>
      <c r="J541" s="491"/>
      <c r="K541" s="404"/>
      <c r="L541" s="491"/>
      <c r="M541" s="491"/>
      <c r="N541" s="491"/>
      <c r="O541" s="491"/>
      <c r="P541" s="507"/>
    </row>
    <row r="542" spans="1:16" ht="18">
      <c r="A542" s="260"/>
      <c r="B542" s="721"/>
      <c r="C542" s="1422" t="s">
        <v>769</v>
      </c>
      <c r="D542" s="1423"/>
      <c r="E542" s="1423"/>
      <c r="F542" s="1424"/>
      <c r="G542" s="489" t="s">
        <v>273</v>
      </c>
      <c r="H542" s="491">
        <v>101.87</v>
      </c>
      <c r="I542" s="491">
        <v>0</v>
      </c>
      <c r="J542" s="491">
        <v>427.15</v>
      </c>
      <c r="K542" s="404"/>
      <c r="L542" s="491">
        <f>J542+K542</f>
        <v>427.15</v>
      </c>
      <c r="M542" s="491"/>
      <c r="N542" s="491">
        <f t="shared" si="106"/>
        <v>43513.770499999999</v>
      </c>
      <c r="O542" s="491">
        <f>H542*K542</f>
        <v>0</v>
      </c>
      <c r="P542" s="507">
        <f t="shared" si="107"/>
        <v>43513.770499999999</v>
      </c>
    </row>
    <row r="543" spans="1:16" s="610" customFormat="1" ht="15.75">
      <c r="A543" s="603"/>
      <c r="B543" s="722" t="s">
        <v>833</v>
      </c>
      <c r="C543" s="1419" t="s">
        <v>835</v>
      </c>
      <c r="D543" s="1420"/>
      <c r="E543" s="1420"/>
      <c r="F543" s="1421"/>
      <c r="G543" s="489"/>
      <c r="H543" s="491"/>
      <c r="I543" s="491"/>
      <c r="J543" s="491"/>
      <c r="K543" s="404"/>
      <c r="L543" s="491">
        <f t="shared" ref="L543:L550" si="108">J543+K543</f>
        <v>0</v>
      </c>
      <c r="M543" s="491">
        <f t="shared" ref="M543:M550" si="109">H543*I543</f>
        <v>0</v>
      </c>
      <c r="N543" s="491">
        <f t="shared" si="106"/>
        <v>0</v>
      </c>
      <c r="O543" s="491">
        <f t="shared" ref="O543:O550" si="110">H543*K543</f>
        <v>0</v>
      </c>
      <c r="P543" s="507">
        <f t="shared" si="107"/>
        <v>0</v>
      </c>
    </row>
    <row r="544" spans="1:16" ht="18">
      <c r="A544" s="260"/>
      <c r="B544" s="721"/>
      <c r="C544" s="1422" t="s">
        <v>836</v>
      </c>
      <c r="D544" s="1423"/>
      <c r="E544" s="1423"/>
      <c r="F544" s="1424"/>
      <c r="G544" s="489" t="s">
        <v>273</v>
      </c>
      <c r="H544" s="491">
        <v>121.6</v>
      </c>
      <c r="I544" s="491">
        <v>290.39999999999998</v>
      </c>
      <c r="J544" s="491">
        <v>290.29000000000002</v>
      </c>
      <c r="K544" s="404"/>
      <c r="L544" s="491">
        <f t="shared" si="108"/>
        <v>290.29000000000002</v>
      </c>
      <c r="M544" s="491">
        <f t="shared" si="109"/>
        <v>35312.639999999992</v>
      </c>
      <c r="N544" s="491">
        <f t="shared" si="106"/>
        <v>35299.264000000003</v>
      </c>
      <c r="O544" s="491">
        <f t="shared" si="110"/>
        <v>0</v>
      </c>
      <c r="P544" s="507">
        <f t="shared" si="107"/>
        <v>35299.264000000003</v>
      </c>
    </row>
    <row r="545" spans="1:16" ht="15.75">
      <c r="A545" s="260"/>
      <c r="B545" s="721"/>
      <c r="C545" s="1422"/>
      <c r="D545" s="1423"/>
      <c r="E545" s="1423"/>
      <c r="F545" s="1424"/>
      <c r="G545" s="489"/>
      <c r="H545" s="491"/>
      <c r="I545" s="491"/>
      <c r="J545" s="491"/>
      <c r="K545" s="404"/>
      <c r="L545" s="491">
        <f t="shared" si="108"/>
        <v>0</v>
      </c>
      <c r="M545" s="491">
        <f t="shared" si="109"/>
        <v>0</v>
      </c>
      <c r="N545" s="491">
        <f t="shared" si="106"/>
        <v>0</v>
      </c>
      <c r="O545" s="491">
        <f t="shared" si="110"/>
        <v>0</v>
      </c>
      <c r="P545" s="507">
        <f t="shared" si="107"/>
        <v>0</v>
      </c>
    </row>
    <row r="546" spans="1:16" ht="18">
      <c r="A546" s="260"/>
      <c r="B546" s="721"/>
      <c r="C546" s="1422" t="s">
        <v>834</v>
      </c>
      <c r="D546" s="1423"/>
      <c r="E546" s="1423"/>
      <c r="F546" s="1424"/>
      <c r="G546" s="489" t="s">
        <v>273</v>
      </c>
      <c r="H546" s="491">
        <v>143.06</v>
      </c>
      <c r="I546" s="491">
        <v>280.72000000000003</v>
      </c>
      <c r="J546" s="491">
        <v>280.62</v>
      </c>
      <c r="K546" s="404"/>
      <c r="L546" s="491">
        <f t="shared" si="108"/>
        <v>280.62</v>
      </c>
      <c r="M546" s="491">
        <f t="shared" si="109"/>
        <v>40159.803200000002</v>
      </c>
      <c r="N546" s="491">
        <f t="shared" si="106"/>
        <v>40145.497199999998</v>
      </c>
      <c r="O546" s="491">
        <f t="shared" si="110"/>
        <v>0</v>
      </c>
      <c r="P546" s="507">
        <f t="shared" si="107"/>
        <v>40145.497199999998</v>
      </c>
    </row>
    <row r="547" spans="1:16" ht="15.75">
      <c r="A547" s="260"/>
      <c r="B547" s="721"/>
      <c r="C547" s="658"/>
      <c r="D547" s="659"/>
      <c r="E547" s="659"/>
      <c r="F547" s="660"/>
      <c r="G547" s="489"/>
      <c r="H547" s="491"/>
      <c r="I547" s="491"/>
      <c r="J547" s="491"/>
      <c r="K547" s="404"/>
      <c r="L547" s="491">
        <f t="shared" si="108"/>
        <v>0</v>
      </c>
      <c r="M547" s="491">
        <f t="shared" si="109"/>
        <v>0</v>
      </c>
      <c r="N547" s="491">
        <f t="shared" si="106"/>
        <v>0</v>
      </c>
      <c r="O547" s="491">
        <f t="shared" si="110"/>
        <v>0</v>
      </c>
      <c r="P547" s="507">
        <f t="shared" si="107"/>
        <v>0</v>
      </c>
    </row>
    <row r="548" spans="1:16" ht="18">
      <c r="A548" s="260"/>
      <c r="B548" s="721"/>
      <c r="C548" s="1422" t="s">
        <v>837</v>
      </c>
      <c r="D548" s="1423"/>
      <c r="E548" s="1423"/>
      <c r="F548" s="1424"/>
      <c r="G548" s="489" t="s">
        <v>273</v>
      </c>
      <c r="H548" s="491">
        <v>207.39</v>
      </c>
      <c r="I548" s="491">
        <v>264</v>
      </c>
      <c r="J548" s="491">
        <v>264.19</v>
      </c>
      <c r="K548" s="404"/>
      <c r="L548" s="491">
        <f t="shared" si="108"/>
        <v>264.19</v>
      </c>
      <c r="M548" s="491">
        <f t="shared" si="109"/>
        <v>54750.96</v>
      </c>
      <c r="N548" s="491">
        <f t="shared" si="106"/>
        <v>54790.364099999999</v>
      </c>
      <c r="O548" s="491">
        <f t="shared" si="110"/>
        <v>0</v>
      </c>
      <c r="P548" s="507">
        <f t="shared" si="107"/>
        <v>54790.364099999999</v>
      </c>
    </row>
    <row r="549" spans="1:16" ht="15.75">
      <c r="A549" s="260"/>
      <c r="B549" s="721"/>
      <c r="C549" s="658"/>
      <c r="D549" s="659"/>
      <c r="E549" s="659"/>
      <c r="F549" s="660"/>
      <c r="G549" s="489"/>
      <c r="H549" s="491"/>
      <c r="I549" s="491"/>
      <c r="J549" s="491"/>
      <c r="K549" s="404"/>
      <c r="L549" s="491">
        <f t="shared" si="108"/>
        <v>0</v>
      </c>
      <c r="M549" s="491">
        <f t="shared" si="109"/>
        <v>0</v>
      </c>
      <c r="N549" s="491">
        <f t="shared" si="106"/>
        <v>0</v>
      </c>
      <c r="O549" s="491">
        <f t="shared" si="110"/>
        <v>0</v>
      </c>
      <c r="P549" s="507">
        <f t="shared" si="107"/>
        <v>0</v>
      </c>
    </row>
    <row r="550" spans="1:16" ht="18">
      <c r="A550" s="260"/>
      <c r="B550" s="721"/>
      <c r="C550" s="1422" t="s">
        <v>834</v>
      </c>
      <c r="D550" s="1423"/>
      <c r="E550" s="1423"/>
      <c r="F550" s="1424"/>
      <c r="G550" s="489" t="s">
        <v>273</v>
      </c>
      <c r="H550" s="491">
        <v>244.31</v>
      </c>
      <c r="I550" s="491">
        <v>264</v>
      </c>
      <c r="J550" s="491">
        <v>264.19</v>
      </c>
      <c r="K550" s="404"/>
      <c r="L550" s="491">
        <f t="shared" si="108"/>
        <v>264.19</v>
      </c>
      <c r="M550" s="491">
        <f t="shared" si="109"/>
        <v>64497.840000000004</v>
      </c>
      <c r="N550" s="491">
        <f t="shared" si="106"/>
        <v>64544.258900000001</v>
      </c>
      <c r="O550" s="491">
        <f t="shared" si="110"/>
        <v>0</v>
      </c>
      <c r="P550" s="507">
        <f t="shared" si="107"/>
        <v>64544.258900000001</v>
      </c>
    </row>
    <row r="551" spans="1:16" ht="15.75">
      <c r="A551" s="260"/>
      <c r="B551" s="721"/>
      <c r="C551" s="1422"/>
      <c r="D551" s="1423"/>
      <c r="E551" s="1423"/>
      <c r="F551" s="1424"/>
      <c r="G551" s="489"/>
      <c r="H551" s="491"/>
      <c r="I551" s="491"/>
      <c r="J551" s="491"/>
      <c r="K551" s="404"/>
      <c r="L551" s="491">
        <f>J551+K551</f>
        <v>0</v>
      </c>
      <c r="M551" s="491">
        <f>H551*I551</f>
        <v>0</v>
      </c>
      <c r="N551" s="491">
        <f>H551*J551</f>
        <v>0</v>
      </c>
      <c r="O551" s="491">
        <f>H551*K551</f>
        <v>0</v>
      </c>
      <c r="P551" s="507">
        <f>H551*L551</f>
        <v>0</v>
      </c>
    </row>
    <row r="552" spans="1:16" ht="18">
      <c r="A552" s="260"/>
      <c r="B552" s="721"/>
      <c r="C552" s="1422" t="s">
        <v>838</v>
      </c>
      <c r="D552" s="1423"/>
      <c r="E552" s="1423"/>
      <c r="F552" s="1424"/>
      <c r="G552" s="489" t="s">
        <v>273</v>
      </c>
      <c r="H552" s="491">
        <v>287.42</v>
      </c>
      <c r="I552" s="491">
        <v>21.12</v>
      </c>
      <c r="J552" s="491">
        <v>21.13</v>
      </c>
      <c r="K552" s="404"/>
      <c r="L552" s="491">
        <f>J552+K552</f>
        <v>21.13</v>
      </c>
      <c r="M552" s="491">
        <f>H552*I552</f>
        <v>6070.3104000000003</v>
      </c>
      <c r="N552" s="491">
        <f>H552*J552</f>
        <v>6073.1846000000005</v>
      </c>
      <c r="O552" s="491">
        <f>H552*K552</f>
        <v>0</v>
      </c>
      <c r="P552" s="507">
        <f>H552*L552</f>
        <v>6073.1846000000005</v>
      </c>
    </row>
    <row r="553" spans="1:16" ht="15.75">
      <c r="A553" s="260"/>
      <c r="B553" s="721"/>
      <c r="C553" s="658"/>
      <c r="D553" s="659"/>
      <c r="E553" s="659"/>
      <c r="F553" s="660"/>
      <c r="G553" s="489"/>
      <c r="H553" s="491"/>
      <c r="I553" s="491"/>
      <c r="J553" s="491"/>
      <c r="K553" s="404"/>
      <c r="L553" s="491"/>
      <c r="M553" s="491"/>
      <c r="N553" s="491"/>
      <c r="O553" s="491"/>
      <c r="P553" s="507"/>
    </row>
    <row r="554" spans="1:16" ht="15.75">
      <c r="A554" s="260"/>
      <c r="B554" s="721" t="s">
        <v>155</v>
      </c>
      <c r="C554" s="498" t="s">
        <v>100</v>
      </c>
      <c r="D554" s="499"/>
      <c r="E554" s="499"/>
      <c r="F554" s="500"/>
      <c r="G554" s="723"/>
      <c r="H554" s="491"/>
      <c r="I554" s="491"/>
      <c r="J554" s="491"/>
      <c r="K554" s="404"/>
      <c r="L554" s="491">
        <f>J554+K554</f>
        <v>0</v>
      </c>
      <c r="M554" s="491"/>
      <c r="N554" s="491">
        <f t="shared" si="106"/>
        <v>0</v>
      </c>
      <c r="O554" s="491">
        <f>H554*K554</f>
        <v>0</v>
      </c>
      <c r="P554" s="507">
        <f t="shared" ref="P554:P581" si="111">H554*L554</f>
        <v>0</v>
      </c>
    </row>
    <row r="555" spans="1:16" ht="18">
      <c r="A555" s="260"/>
      <c r="B555" s="724"/>
      <c r="C555" s="498" t="s">
        <v>108</v>
      </c>
      <c r="D555" s="499"/>
      <c r="E555" s="499"/>
      <c r="F555" s="500"/>
      <c r="G555" s="489" t="s">
        <v>273</v>
      </c>
      <c r="H555" s="491">
        <v>34.69</v>
      </c>
      <c r="I555" s="491">
        <v>477.92</v>
      </c>
      <c r="J555" s="491">
        <f>4582.93+12</f>
        <v>4594.93</v>
      </c>
      <c r="K555" s="404">
        <v>0</v>
      </c>
      <c r="L555" s="491">
        <f>J555+K555</f>
        <v>4594.93</v>
      </c>
      <c r="M555" s="491">
        <f>H555*I555</f>
        <v>16579.0448</v>
      </c>
      <c r="N555" s="491">
        <f t="shared" si="106"/>
        <v>159398.12169999999</v>
      </c>
      <c r="O555" s="491">
        <f>H555*K555</f>
        <v>0</v>
      </c>
      <c r="P555" s="507">
        <f t="shared" si="111"/>
        <v>159398.12169999999</v>
      </c>
    </row>
    <row r="556" spans="1:16" ht="15.75">
      <c r="A556" s="260"/>
      <c r="B556" s="721"/>
      <c r="C556" s="502" t="s">
        <v>320</v>
      </c>
      <c r="D556" s="503"/>
      <c r="E556" s="725"/>
      <c r="F556" s="503"/>
      <c r="G556" s="726"/>
      <c r="H556" s="727"/>
      <c r="I556" s="491"/>
      <c r="J556" s="491"/>
      <c r="K556" s="404"/>
      <c r="L556" s="491">
        <f t="shared" ref="L556:L581" si="112">J556+K556</f>
        <v>0</v>
      </c>
      <c r="M556" s="491"/>
      <c r="N556" s="491">
        <f t="shared" si="106"/>
        <v>0</v>
      </c>
      <c r="O556" s="491"/>
      <c r="P556" s="507">
        <f t="shared" si="111"/>
        <v>0</v>
      </c>
    </row>
    <row r="557" spans="1:16" ht="15.75">
      <c r="A557" s="260"/>
      <c r="B557" s="721" t="s">
        <v>255</v>
      </c>
      <c r="C557" s="498" t="s">
        <v>230</v>
      </c>
      <c r="D557" s="499"/>
      <c r="E557" s="502"/>
      <c r="F557" s="503"/>
      <c r="G557" s="726"/>
      <c r="H557" s="727"/>
      <c r="I557" s="491"/>
      <c r="J557" s="491"/>
      <c r="K557" s="404"/>
      <c r="L557" s="491">
        <f t="shared" si="112"/>
        <v>0</v>
      </c>
      <c r="M557" s="491"/>
      <c r="N557" s="491">
        <f t="shared" si="106"/>
        <v>0</v>
      </c>
      <c r="O557" s="491"/>
      <c r="P557" s="507">
        <f t="shared" si="111"/>
        <v>0</v>
      </c>
    </row>
    <row r="558" spans="1:16" ht="18">
      <c r="A558" s="260"/>
      <c r="B558" s="721"/>
      <c r="C558" s="498" t="s">
        <v>274</v>
      </c>
      <c r="D558" s="499"/>
      <c r="E558" s="502"/>
      <c r="F558" s="503"/>
      <c r="G558" s="726"/>
      <c r="H558" s="727"/>
      <c r="I558" s="491"/>
      <c r="J558" s="491"/>
      <c r="K558" s="404"/>
      <c r="L558" s="491">
        <f t="shared" si="112"/>
        <v>0</v>
      </c>
      <c r="M558" s="491"/>
      <c r="N558" s="491">
        <f t="shared" si="106"/>
        <v>0</v>
      </c>
      <c r="O558" s="491"/>
      <c r="P558" s="507">
        <f t="shared" si="111"/>
        <v>0</v>
      </c>
    </row>
    <row r="559" spans="1:16" ht="18">
      <c r="A559" s="260"/>
      <c r="B559" s="721"/>
      <c r="C559" s="498" t="s">
        <v>231</v>
      </c>
      <c r="D559" s="499"/>
      <c r="E559" s="502"/>
      <c r="F559" s="503"/>
      <c r="G559" s="489" t="s">
        <v>275</v>
      </c>
      <c r="H559" s="491">
        <v>35.47</v>
      </c>
      <c r="I559" s="491">
        <v>182.4</v>
      </c>
      <c r="J559" s="491">
        <f>188.32+8</f>
        <v>196.32</v>
      </c>
      <c r="K559" s="404">
        <v>0</v>
      </c>
      <c r="L559" s="491">
        <f t="shared" si="112"/>
        <v>196.32</v>
      </c>
      <c r="M559" s="491">
        <f>H559*I559</f>
        <v>6469.7280000000001</v>
      </c>
      <c r="N559" s="491">
        <f t="shared" si="106"/>
        <v>6963.4703999999992</v>
      </c>
      <c r="O559" s="491">
        <f>H559*K559</f>
        <v>0</v>
      </c>
      <c r="P559" s="507">
        <f t="shared" si="111"/>
        <v>6963.4703999999992</v>
      </c>
    </row>
    <row r="560" spans="1:16" ht="15.75">
      <c r="A560" s="260"/>
      <c r="B560" s="721"/>
      <c r="C560" s="498"/>
      <c r="D560" s="499"/>
      <c r="E560" s="502"/>
      <c r="F560" s="503"/>
      <c r="G560" s="726"/>
      <c r="H560" s="727"/>
      <c r="I560" s="727"/>
      <c r="J560" s="491"/>
      <c r="K560" s="404"/>
      <c r="L560" s="491">
        <f t="shared" si="112"/>
        <v>0</v>
      </c>
      <c r="M560" s="491">
        <f>H560*I560</f>
        <v>0</v>
      </c>
      <c r="N560" s="491">
        <f t="shared" si="106"/>
        <v>0</v>
      </c>
      <c r="O560" s="491">
        <f>H560*K560</f>
        <v>0</v>
      </c>
      <c r="P560" s="507">
        <f t="shared" si="111"/>
        <v>0</v>
      </c>
    </row>
    <row r="561" spans="1:16" ht="15.75">
      <c r="A561" s="260"/>
      <c r="B561" s="721" t="s">
        <v>256</v>
      </c>
      <c r="C561" s="498" t="s">
        <v>233</v>
      </c>
      <c r="D561" s="499"/>
      <c r="E561" s="502"/>
      <c r="F561" s="503"/>
      <c r="G561" s="726"/>
      <c r="H561" s="727"/>
      <c r="I561" s="727"/>
      <c r="J561" s="491"/>
      <c r="K561" s="404"/>
      <c r="L561" s="491">
        <f t="shared" si="112"/>
        <v>0</v>
      </c>
      <c r="M561" s="491"/>
      <c r="N561" s="491">
        <f t="shared" si="106"/>
        <v>0</v>
      </c>
      <c r="O561" s="491"/>
      <c r="P561" s="507">
        <f t="shared" si="111"/>
        <v>0</v>
      </c>
    </row>
    <row r="562" spans="1:16" ht="15.75">
      <c r="A562" s="260"/>
      <c r="B562" s="721"/>
      <c r="C562" s="498" t="s">
        <v>234</v>
      </c>
      <c r="D562" s="499"/>
      <c r="E562" s="502"/>
      <c r="F562" s="503"/>
      <c r="G562" s="726"/>
      <c r="H562" s="727"/>
      <c r="I562" s="727"/>
      <c r="J562" s="491"/>
      <c r="K562" s="404"/>
      <c r="L562" s="491">
        <f t="shared" si="112"/>
        <v>0</v>
      </c>
      <c r="M562" s="491"/>
      <c r="N562" s="491">
        <f t="shared" si="106"/>
        <v>0</v>
      </c>
      <c r="O562" s="491"/>
      <c r="P562" s="507">
        <f t="shared" si="111"/>
        <v>0</v>
      </c>
    </row>
    <row r="563" spans="1:16" ht="18">
      <c r="A563" s="260"/>
      <c r="B563" s="721"/>
      <c r="C563" s="498" t="s">
        <v>236</v>
      </c>
      <c r="D563" s="499"/>
      <c r="E563" s="502"/>
      <c r="F563" s="503"/>
      <c r="G563" s="489" t="s">
        <v>273</v>
      </c>
      <c r="H563" s="491">
        <v>1434.18</v>
      </c>
      <c r="I563" s="491">
        <v>72.959999999999994</v>
      </c>
      <c r="J563" s="491">
        <f>67.84+3.2</f>
        <v>71.040000000000006</v>
      </c>
      <c r="K563" s="404">
        <v>0</v>
      </c>
      <c r="L563" s="491">
        <f t="shared" si="112"/>
        <v>71.040000000000006</v>
      </c>
      <c r="M563" s="491"/>
      <c r="N563" s="491">
        <f t="shared" si="106"/>
        <v>101884.14720000001</v>
      </c>
      <c r="O563" s="491"/>
      <c r="P563" s="507">
        <f t="shared" si="111"/>
        <v>101884.14720000001</v>
      </c>
    </row>
    <row r="564" spans="1:16" ht="18">
      <c r="A564" s="260"/>
      <c r="B564" s="721"/>
      <c r="C564" s="498" t="s">
        <v>261</v>
      </c>
      <c r="D564" s="499"/>
      <c r="E564" s="502"/>
      <c r="F564" s="503"/>
      <c r="G564" s="489" t="s">
        <v>273</v>
      </c>
      <c r="H564" s="491">
        <v>1434.18</v>
      </c>
      <c r="I564" s="491">
        <v>77.17</v>
      </c>
      <c r="J564" s="491">
        <f>98.99+3.55</f>
        <v>102.53999999999999</v>
      </c>
      <c r="K564" s="404">
        <v>0</v>
      </c>
      <c r="L564" s="491">
        <f t="shared" si="112"/>
        <v>102.53999999999999</v>
      </c>
      <c r="M564" s="491"/>
      <c r="N564" s="491">
        <f t="shared" si="106"/>
        <v>147060.81719999999</v>
      </c>
      <c r="O564" s="491"/>
      <c r="P564" s="507">
        <f t="shared" si="111"/>
        <v>147060.81719999999</v>
      </c>
    </row>
    <row r="565" spans="1:16" ht="15.75">
      <c r="A565" s="260"/>
      <c r="B565" s="721"/>
      <c r="C565" s="498"/>
      <c r="D565" s="499"/>
      <c r="E565" s="502"/>
      <c r="F565" s="503"/>
      <c r="G565" s="726"/>
      <c r="H565" s="491"/>
      <c r="I565" s="491"/>
      <c r="J565" s="491"/>
      <c r="K565" s="404"/>
      <c r="L565" s="491">
        <f t="shared" si="112"/>
        <v>0</v>
      </c>
      <c r="M565" s="491"/>
      <c r="N565" s="491">
        <f t="shared" si="106"/>
        <v>0</v>
      </c>
      <c r="O565" s="491"/>
      <c r="P565" s="507">
        <f t="shared" si="111"/>
        <v>0</v>
      </c>
    </row>
    <row r="566" spans="1:16" ht="15.75">
      <c r="A566" s="260"/>
      <c r="B566" s="721" t="s">
        <v>257</v>
      </c>
      <c r="C566" s="498" t="s">
        <v>239</v>
      </c>
      <c r="D566" s="499"/>
      <c r="E566" s="502"/>
      <c r="F566" s="503"/>
      <c r="G566" s="726"/>
      <c r="H566" s="491"/>
      <c r="I566" s="491"/>
      <c r="J566" s="491"/>
      <c r="K566" s="404"/>
      <c r="L566" s="491">
        <f t="shared" si="112"/>
        <v>0</v>
      </c>
      <c r="M566" s="491">
        <f t="shared" ref="M566:M575" si="113">H566*I566</f>
        <v>0</v>
      </c>
      <c r="N566" s="491">
        <f t="shared" si="106"/>
        <v>0</v>
      </c>
      <c r="O566" s="491">
        <f t="shared" ref="O566:O575" si="114">H566*K566</f>
        <v>0</v>
      </c>
      <c r="P566" s="507">
        <f t="shared" si="111"/>
        <v>0</v>
      </c>
    </row>
    <row r="567" spans="1:16" ht="15.75">
      <c r="A567" s="260"/>
      <c r="B567" s="721"/>
      <c r="C567" s="498" t="s">
        <v>240</v>
      </c>
      <c r="D567" s="499"/>
      <c r="E567" s="502"/>
      <c r="F567" s="503"/>
      <c r="G567" s="726"/>
      <c r="H567" s="491"/>
      <c r="I567" s="491"/>
      <c r="J567" s="491"/>
      <c r="K567" s="404"/>
      <c r="L567" s="491">
        <f t="shared" si="112"/>
        <v>0</v>
      </c>
      <c r="M567" s="491">
        <f t="shared" si="113"/>
        <v>0</v>
      </c>
      <c r="N567" s="491">
        <f t="shared" si="106"/>
        <v>0</v>
      </c>
      <c r="O567" s="491">
        <f t="shared" si="114"/>
        <v>0</v>
      </c>
      <c r="P567" s="507">
        <f t="shared" si="111"/>
        <v>0</v>
      </c>
    </row>
    <row r="568" spans="1:16" ht="18">
      <c r="A568" s="260"/>
      <c r="B568" s="721"/>
      <c r="C568" s="498" t="s">
        <v>242</v>
      </c>
      <c r="D568" s="499"/>
      <c r="E568" s="502"/>
      <c r="F568" s="503"/>
      <c r="G568" s="489" t="s">
        <v>275</v>
      </c>
      <c r="H568" s="491">
        <v>58.19</v>
      </c>
      <c r="I568" s="491">
        <v>49.76</v>
      </c>
      <c r="J568" s="491">
        <f>67.84+7.29</f>
        <v>75.13000000000001</v>
      </c>
      <c r="K568" s="404">
        <v>0</v>
      </c>
      <c r="L568" s="491">
        <f t="shared" si="112"/>
        <v>75.13000000000001</v>
      </c>
      <c r="M568" s="491">
        <f t="shared" si="113"/>
        <v>2895.5343999999996</v>
      </c>
      <c r="N568" s="491">
        <f t="shared" si="106"/>
        <v>4371.8147000000008</v>
      </c>
      <c r="O568" s="491">
        <f t="shared" si="114"/>
        <v>0</v>
      </c>
      <c r="P568" s="507">
        <f t="shared" si="111"/>
        <v>4371.8147000000008</v>
      </c>
    </row>
    <row r="569" spans="1:16" ht="18">
      <c r="A569" s="260"/>
      <c r="B569" s="721"/>
      <c r="C569" s="498" t="s">
        <v>261</v>
      </c>
      <c r="D569" s="499"/>
      <c r="E569" s="502"/>
      <c r="F569" s="503"/>
      <c r="G569" s="489" t="s">
        <v>275</v>
      </c>
      <c r="H569" s="491">
        <v>58.19</v>
      </c>
      <c r="I569" s="491">
        <v>514.48</v>
      </c>
      <c r="J569" s="491">
        <f>627.12+13.67</f>
        <v>640.79</v>
      </c>
      <c r="K569" s="404">
        <v>0</v>
      </c>
      <c r="L569" s="491">
        <f t="shared" si="112"/>
        <v>640.79</v>
      </c>
      <c r="M569" s="491">
        <f t="shared" si="113"/>
        <v>29937.591199999999</v>
      </c>
      <c r="N569" s="491">
        <f t="shared" si="106"/>
        <v>37287.570099999997</v>
      </c>
      <c r="O569" s="491">
        <f t="shared" si="114"/>
        <v>0</v>
      </c>
      <c r="P569" s="507">
        <f t="shared" si="111"/>
        <v>37287.570099999997</v>
      </c>
    </row>
    <row r="570" spans="1:16" ht="15.75">
      <c r="A570" s="260"/>
      <c r="B570" s="721"/>
      <c r="C570" s="498"/>
      <c r="D570" s="499"/>
      <c r="E570" s="502"/>
      <c r="F570" s="503"/>
      <c r="G570" s="726"/>
      <c r="H570" s="491"/>
      <c r="I570" s="491"/>
      <c r="J570" s="491"/>
      <c r="K570" s="404"/>
      <c r="L570" s="491">
        <f t="shared" si="112"/>
        <v>0</v>
      </c>
      <c r="M570" s="491">
        <f t="shared" si="113"/>
        <v>0</v>
      </c>
      <c r="N570" s="491">
        <f t="shared" si="106"/>
        <v>0</v>
      </c>
      <c r="O570" s="491">
        <f t="shared" si="114"/>
        <v>0</v>
      </c>
      <c r="P570" s="507">
        <f t="shared" si="111"/>
        <v>0</v>
      </c>
    </row>
    <row r="571" spans="1:16" ht="15.75">
      <c r="A571" s="260"/>
      <c r="B571" s="721" t="s">
        <v>258</v>
      </c>
      <c r="C571" s="498" t="s">
        <v>243</v>
      </c>
      <c r="D571" s="499"/>
      <c r="E571" s="502"/>
      <c r="F571" s="503"/>
      <c r="G571" s="726"/>
      <c r="H571" s="491"/>
      <c r="I571" s="491"/>
      <c r="J571" s="491"/>
      <c r="K571" s="404"/>
      <c r="L571" s="491">
        <f t="shared" si="112"/>
        <v>0</v>
      </c>
      <c r="M571" s="491">
        <f t="shared" si="113"/>
        <v>0</v>
      </c>
      <c r="N571" s="491">
        <f t="shared" si="106"/>
        <v>0</v>
      </c>
      <c r="O571" s="491">
        <f t="shared" si="114"/>
        <v>0</v>
      </c>
      <c r="P571" s="507">
        <f t="shared" si="111"/>
        <v>0</v>
      </c>
    </row>
    <row r="572" spans="1:16" ht="15.75">
      <c r="A572" s="260"/>
      <c r="B572" s="721"/>
      <c r="C572" s="498" t="s">
        <v>244</v>
      </c>
      <c r="D572" s="499"/>
      <c r="E572" s="502"/>
      <c r="F572" s="503"/>
      <c r="G572" s="726"/>
      <c r="H572" s="491"/>
      <c r="I572" s="491"/>
      <c r="J572" s="491"/>
      <c r="K572" s="404"/>
      <c r="L572" s="491">
        <f t="shared" si="112"/>
        <v>0</v>
      </c>
      <c r="M572" s="491">
        <f t="shared" si="113"/>
        <v>0</v>
      </c>
      <c r="N572" s="491">
        <f t="shared" si="106"/>
        <v>0</v>
      </c>
      <c r="O572" s="491">
        <f t="shared" si="114"/>
        <v>0</v>
      </c>
      <c r="P572" s="507">
        <f t="shared" si="111"/>
        <v>0</v>
      </c>
    </row>
    <row r="573" spans="1:16" ht="15.75">
      <c r="A573" s="260"/>
      <c r="B573" s="721"/>
      <c r="C573" s="498" t="s">
        <v>245</v>
      </c>
      <c r="D573" s="499"/>
      <c r="E573" s="502"/>
      <c r="F573" s="503"/>
      <c r="G573" s="489" t="s">
        <v>103</v>
      </c>
      <c r="H573" s="491">
        <v>2.02</v>
      </c>
      <c r="I573" s="491">
        <v>7153.37</v>
      </c>
      <c r="J573" s="491">
        <f>7768.224+126.1</f>
        <v>7894.3240000000005</v>
      </c>
      <c r="K573" s="404">
        <v>0</v>
      </c>
      <c r="L573" s="491">
        <f t="shared" si="112"/>
        <v>7894.3240000000005</v>
      </c>
      <c r="M573" s="491">
        <f t="shared" si="113"/>
        <v>14449.8074</v>
      </c>
      <c r="N573" s="491">
        <f t="shared" si="106"/>
        <v>15946.534480000002</v>
      </c>
      <c r="O573" s="491">
        <f t="shared" si="114"/>
        <v>0</v>
      </c>
      <c r="P573" s="507">
        <f t="shared" si="111"/>
        <v>15946.534480000002</v>
      </c>
    </row>
    <row r="574" spans="1:16" ht="15.75">
      <c r="A574" s="260"/>
      <c r="B574" s="721"/>
      <c r="C574" s="498" t="s">
        <v>262</v>
      </c>
      <c r="D574" s="499"/>
      <c r="E574" s="502"/>
      <c r="F574" s="503"/>
      <c r="G574" s="489" t="s">
        <v>103</v>
      </c>
      <c r="H574" s="491">
        <v>2.02</v>
      </c>
      <c r="I574" s="491">
        <v>12401.91</v>
      </c>
      <c r="J574" s="491">
        <f>13468.26+527.37</f>
        <v>13995.630000000001</v>
      </c>
      <c r="K574" s="404">
        <v>0</v>
      </c>
      <c r="L574" s="491">
        <f t="shared" si="112"/>
        <v>13995.630000000001</v>
      </c>
      <c r="M574" s="491">
        <f t="shared" si="113"/>
        <v>25051.858199999999</v>
      </c>
      <c r="N574" s="491">
        <f t="shared" si="106"/>
        <v>28271.172600000002</v>
      </c>
      <c r="O574" s="491">
        <f t="shared" si="114"/>
        <v>0</v>
      </c>
      <c r="P574" s="507">
        <f t="shared" si="111"/>
        <v>28271.172600000002</v>
      </c>
    </row>
    <row r="575" spans="1:16" ht="15.75">
      <c r="A575" s="260"/>
      <c r="B575" s="721"/>
      <c r="C575" s="498" t="s">
        <v>246</v>
      </c>
      <c r="D575" s="499"/>
      <c r="E575" s="502"/>
      <c r="F575" s="503"/>
      <c r="G575" s="489" t="s">
        <v>103</v>
      </c>
      <c r="H575" s="491">
        <v>2.02</v>
      </c>
      <c r="I575" s="491">
        <v>29.82</v>
      </c>
      <c r="J575" s="491">
        <v>50.527999999999999</v>
      </c>
      <c r="K575" s="404"/>
      <c r="L575" s="491">
        <f t="shared" si="112"/>
        <v>50.527999999999999</v>
      </c>
      <c r="M575" s="491">
        <f t="shared" si="113"/>
        <v>60.236400000000003</v>
      </c>
      <c r="N575" s="491">
        <f t="shared" si="106"/>
        <v>102.06656</v>
      </c>
      <c r="O575" s="491">
        <f t="shared" si="114"/>
        <v>0</v>
      </c>
      <c r="P575" s="507">
        <f t="shared" si="111"/>
        <v>102.06656</v>
      </c>
    </row>
    <row r="576" spans="1:16" ht="15.75">
      <c r="A576" s="260"/>
      <c r="B576" s="721"/>
      <c r="C576" s="498"/>
      <c r="D576" s="499"/>
      <c r="E576" s="502"/>
      <c r="F576" s="503"/>
      <c r="G576" s="489"/>
      <c r="H576" s="491"/>
      <c r="I576" s="491"/>
      <c r="J576" s="491"/>
      <c r="K576" s="404"/>
      <c r="L576" s="491">
        <f t="shared" si="112"/>
        <v>0</v>
      </c>
      <c r="M576" s="491"/>
      <c r="N576" s="491">
        <f t="shared" si="106"/>
        <v>0</v>
      </c>
      <c r="O576" s="491"/>
      <c r="P576" s="507">
        <f t="shared" si="111"/>
        <v>0</v>
      </c>
    </row>
    <row r="577" spans="1:16" ht="15.75">
      <c r="A577" s="260"/>
      <c r="B577" s="721" t="s">
        <v>259</v>
      </c>
      <c r="C577" s="1422" t="s">
        <v>247</v>
      </c>
      <c r="D577" s="1423"/>
      <c r="E577" s="1423"/>
      <c r="F577" s="1424"/>
      <c r="G577" s="726"/>
      <c r="H577" s="491"/>
      <c r="I577" s="491"/>
      <c r="J577" s="491"/>
      <c r="K577" s="404"/>
      <c r="L577" s="491">
        <f t="shared" si="112"/>
        <v>0</v>
      </c>
      <c r="M577" s="491"/>
      <c r="N577" s="491">
        <f t="shared" si="106"/>
        <v>0</v>
      </c>
      <c r="O577" s="491"/>
      <c r="P577" s="507">
        <f t="shared" si="111"/>
        <v>0</v>
      </c>
    </row>
    <row r="578" spans="1:16" ht="15.75">
      <c r="A578" s="260"/>
      <c r="B578" s="721"/>
      <c r="C578" s="498" t="s">
        <v>248</v>
      </c>
      <c r="D578" s="499"/>
      <c r="E578" s="502"/>
      <c r="F578" s="503"/>
      <c r="G578" s="489" t="s">
        <v>254</v>
      </c>
      <c r="H578" s="491">
        <v>35</v>
      </c>
      <c r="I578" s="491">
        <v>46.2</v>
      </c>
      <c r="J578" s="491">
        <v>204.8</v>
      </c>
      <c r="K578" s="404"/>
      <c r="L578" s="491">
        <f t="shared" si="112"/>
        <v>204.8</v>
      </c>
      <c r="M578" s="491"/>
      <c r="N578" s="491">
        <f t="shared" si="106"/>
        <v>7168</v>
      </c>
      <c r="O578" s="491"/>
      <c r="P578" s="507">
        <f t="shared" si="111"/>
        <v>7168</v>
      </c>
    </row>
    <row r="579" spans="1:16" ht="15.75">
      <c r="A579" s="260"/>
      <c r="B579" s="721"/>
      <c r="C579" s="498"/>
      <c r="D579" s="499"/>
      <c r="E579" s="502"/>
      <c r="F579" s="503"/>
      <c r="G579" s="726"/>
      <c r="H579" s="491"/>
      <c r="I579" s="491"/>
      <c r="J579" s="491"/>
      <c r="K579" s="404"/>
      <c r="L579" s="491">
        <f t="shared" si="112"/>
        <v>0</v>
      </c>
      <c r="M579" s="491"/>
      <c r="N579" s="491">
        <f t="shared" si="106"/>
        <v>0</v>
      </c>
      <c r="O579" s="491"/>
      <c r="P579" s="507">
        <f t="shared" si="111"/>
        <v>0</v>
      </c>
    </row>
    <row r="580" spans="1:16" ht="15.75">
      <c r="A580" s="260"/>
      <c r="B580" s="721" t="s">
        <v>260</v>
      </c>
      <c r="C580" s="498" t="s">
        <v>249</v>
      </c>
      <c r="D580" s="499"/>
      <c r="E580" s="502"/>
      <c r="F580" s="503"/>
      <c r="G580" s="726"/>
      <c r="H580" s="491"/>
      <c r="I580" s="491"/>
      <c r="J580" s="491"/>
      <c r="K580" s="404"/>
      <c r="L580" s="491">
        <f t="shared" si="112"/>
        <v>0</v>
      </c>
      <c r="M580" s="491"/>
      <c r="N580" s="491">
        <f t="shared" si="106"/>
        <v>0</v>
      </c>
      <c r="O580" s="491"/>
      <c r="P580" s="507">
        <f t="shared" si="111"/>
        <v>0</v>
      </c>
    </row>
    <row r="581" spans="1:16" ht="15.75">
      <c r="A581" s="260"/>
      <c r="B581" s="721"/>
      <c r="C581" s="498" t="s">
        <v>250</v>
      </c>
      <c r="D581" s="499"/>
      <c r="E581" s="502"/>
      <c r="F581" s="503"/>
      <c r="G581" s="489" t="s">
        <v>254</v>
      </c>
      <c r="H581" s="491">
        <v>235</v>
      </c>
      <c r="I581" s="491">
        <v>32</v>
      </c>
      <c r="J581" s="491">
        <f>794.88+5.9</f>
        <v>800.78</v>
      </c>
      <c r="K581" s="404">
        <v>0</v>
      </c>
      <c r="L581" s="491">
        <f t="shared" si="112"/>
        <v>800.78</v>
      </c>
      <c r="M581" s="491">
        <f>H581*I581</f>
        <v>7520</v>
      </c>
      <c r="N581" s="491">
        <f t="shared" si="106"/>
        <v>188183.3</v>
      </c>
      <c r="O581" s="491">
        <f>H581*K581</f>
        <v>0</v>
      </c>
      <c r="P581" s="507">
        <f t="shared" si="111"/>
        <v>188183.3</v>
      </c>
    </row>
    <row r="582" spans="1:16" ht="15.75">
      <c r="A582" s="260"/>
      <c r="B582" s="1264"/>
      <c r="C582" s="504"/>
      <c r="D582" s="505"/>
      <c r="E582" s="733"/>
      <c r="F582" s="734"/>
      <c r="G582" s="493"/>
      <c r="H582" s="490"/>
      <c r="I582" s="490"/>
      <c r="J582" s="490"/>
      <c r="K582" s="406"/>
      <c r="L582" s="490"/>
      <c r="M582" s="490"/>
      <c r="N582" s="490"/>
      <c r="O582" s="490"/>
      <c r="P582" s="508"/>
    </row>
    <row r="583" spans="1:16" ht="15.75">
      <c r="A583" s="260"/>
      <c r="B583" s="118"/>
      <c r="C583" s="128" t="s">
        <v>1384</v>
      </c>
      <c r="D583" s="129"/>
      <c r="E583" s="133"/>
      <c r="F583" s="141"/>
      <c r="G583" s="399"/>
      <c r="H583" s="120"/>
      <c r="I583" s="417"/>
      <c r="J583" s="120"/>
      <c r="K583" s="404"/>
      <c r="L583" s="120"/>
      <c r="M583" s="120"/>
      <c r="N583" s="120"/>
      <c r="O583" s="404"/>
      <c r="P583" s="121"/>
    </row>
    <row r="584" spans="1:16" ht="15.75">
      <c r="A584" s="260"/>
      <c r="B584" s="118" t="s">
        <v>1385</v>
      </c>
      <c r="C584" s="132" t="s">
        <v>1386</v>
      </c>
      <c r="D584" s="129"/>
      <c r="E584" s="133"/>
      <c r="F584" s="141"/>
      <c r="G584" s="399"/>
      <c r="H584" s="120"/>
      <c r="I584" s="417"/>
      <c r="J584" s="120"/>
      <c r="K584" s="404"/>
      <c r="L584" s="120"/>
      <c r="M584" s="120"/>
      <c r="N584" s="120"/>
      <c r="O584" s="404"/>
      <c r="P584" s="121"/>
    </row>
    <row r="585" spans="1:16" ht="15.75">
      <c r="A585" s="260"/>
      <c r="C585" s="1433" t="s">
        <v>1387</v>
      </c>
      <c r="D585" s="1359"/>
      <c r="E585" s="1359"/>
      <c r="F585" s="1360"/>
      <c r="G585" s="399"/>
      <c r="H585" s="120"/>
      <c r="I585" s="417"/>
      <c r="J585" s="120"/>
      <c r="K585" s="404"/>
      <c r="L585" s="120"/>
      <c r="M585" s="120"/>
      <c r="N585" s="120"/>
      <c r="O585" s="404"/>
      <c r="P585" s="121"/>
    </row>
    <row r="586" spans="1:16" ht="18">
      <c r="A586" s="260"/>
      <c r="B586" s="118"/>
      <c r="C586" s="132" t="s">
        <v>1388</v>
      </c>
      <c r="D586" s="129"/>
      <c r="E586" s="133"/>
      <c r="F586" s="141"/>
      <c r="G586" s="399" t="s">
        <v>273</v>
      </c>
      <c r="H586" s="120">
        <v>537.21</v>
      </c>
      <c r="I586" s="417">
        <v>101</v>
      </c>
      <c r="J586" s="120"/>
      <c r="K586" s="404">
        <v>101</v>
      </c>
      <c r="L586" s="120">
        <f>K586+J586</f>
        <v>101</v>
      </c>
      <c r="M586" s="120">
        <f t="shared" ref="M586:M587" si="115">H586*I586</f>
        <v>54258.210000000006</v>
      </c>
      <c r="N586" s="120">
        <f t="shared" ref="N586:N587" si="116">H586*J586</f>
        <v>0</v>
      </c>
      <c r="O586" s="404">
        <f t="shared" ref="O586:O587" si="117">H586*K586</f>
        <v>54258.210000000006</v>
      </c>
      <c r="P586" s="457">
        <f>L586*H586</f>
        <v>54258.210000000006</v>
      </c>
    </row>
    <row r="587" spans="1:16" ht="18">
      <c r="A587" s="260"/>
      <c r="B587" s="118"/>
      <c r="C587" s="132" t="s">
        <v>1389</v>
      </c>
      <c r="D587" s="129"/>
      <c r="E587" s="133"/>
      <c r="F587" s="141"/>
      <c r="G587" s="399" t="s">
        <v>273</v>
      </c>
      <c r="H587" s="120">
        <v>537.21</v>
      </c>
      <c r="I587" s="417">
        <v>30.3</v>
      </c>
      <c r="J587" s="120"/>
      <c r="K587" s="404">
        <v>30.3</v>
      </c>
      <c r="L587" s="120">
        <f>K587+J587</f>
        <v>30.3</v>
      </c>
      <c r="M587" s="120">
        <f t="shared" si="115"/>
        <v>16277.463000000002</v>
      </c>
      <c r="N587" s="120">
        <f t="shared" si="116"/>
        <v>0</v>
      </c>
      <c r="O587" s="404">
        <f t="shared" si="117"/>
        <v>16277.463000000002</v>
      </c>
      <c r="P587" s="457">
        <f>L587*H587</f>
        <v>16277.463000000002</v>
      </c>
    </row>
    <row r="588" spans="1:16" ht="15.75">
      <c r="A588" s="260"/>
      <c r="B588" s="118"/>
      <c r="C588" s="132"/>
      <c r="D588" s="129"/>
      <c r="E588" s="133"/>
      <c r="F588" s="141"/>
      <c r="G588" s="399"/>
      <c r="H588" s="120"/>
      <c r="I588" s="417"/>
      <c r="J588" s="120"/>
      <c r="K588" s="404"/>
      <c r="L588" s="120"/>
      <c r="M588" s="120"/>
      <c r="N588" s="120"/>
      <c r="O588" s="404"/>
      <c r="P588" s="121"/>
    </row>
    <row r="589" spans="1:16" ht="16.5" thickBot="1">
      <c r="A589" s="260"/>
      <c r="B589" s="731"/>
      <c r="C589" s="732"/>
      <c r="D589" s="733"/>
      <c r="E589" s="733"/>
      <c r="F589" s="734" t="s">
        <v>567</v>
      </c>
      <c r="G589" s="735"/>
      <c r="H589" s="736"/>
      <c r="I589" s="736"/>
      <c r="J589" s="736"/>
      <c r="K589" s="409"/>
      <c r="L589" s="736"/>
      <c r="M589" s="736">
        <f>SUM(M530:M581)</f>
        <v>314980.72159999999</v>
      </c>
      <c r="N589" s="736">
        <f>SUM(N530:N581)</f>
        <v>1103301.10244</v>
      </c>
      <c r="O589" s="736">
        <f>SUM(O586:O588)</f>
        <v>70535.67300000001</v>
      </c>
      <c r="P589" s="739">
        <f>O589+N589</f>
        <v>1173836.77544</v>
      </c>
    </row>
    <row r="590" spans="1:16" s="413" customFormat="1" ht="19.5" thickTop="1" thickBot="1">
      <c r="A590" s="433"/>
      <c r="B590" s="440"/>
      <c r="C590" s="527" t="s">
        <v>713</v>
      </c>
      <c r="D590" s="528"/>
      <c r="E590" s="528"/>
      <c r="F590" s="528"/>
      <c r="G590" s="529"/>
      <c r="H590" s="530"/>
      <c r="I590" s="634"/>
      <c r="J590" s="531"/>
      <c r="K590" s="443">
        <f t="shared" ref="K590:O590" si="118">K459+K407+K525+K589</f>
        <v>0</v>
      </c>
      <c r="L590" s="530">
        <f t="shared" si="118"/>
        <v>0</v>
      </c>
      <c r="M590" s="530">
        <f t="shared" si="118"/>
        <v>1384491.6198000002</v>
      </c>
      <c r="N590" s="530">
        <f t="shared" si="118"/>
        <v>3418700.63234</v>
      </c>
      <c r="O590" s="443">
        <f t="shared" si="118"/>
        <v>282142.69200000004</v>
      </c>
      <c r="P590" s="526">
        <f>O590+N590</f>
        <v>3700843.3243399998</v>
      </c>
    </row>
    <row r="591" spans="1:16" s="413" customFormat="1" ht="18.75" thickTop="1">
      <c r="A591" s="433"/>
      <c r="B591" s="749"/>
      <c r="C591" s="750"/>
      <c r="D591" s="751"/>
      <c r="E591" s="751"/>
      <c r="F591" s="751"/>
      <c r="G591" s="752"/>
      <c r="H591" s="753"/>
      <c r="I591" s="754"/>
      <c r="J591" s="755"/>
      <c r="K591" s="756"/>
      <c r="L591" s="753"/>
      <c r="M591" s="753"/>
      <c r="N591" s="753"/>
      <c r="O591" s="756"/>
      <c r="P591" s="757"/>
    </row>
    <row r="592" spans="1:16" s="413" customFormat="1" ht="15.75">
      <c r="A592" s="433"/>
      <c r="B592" s="604">
        <v>10</v>
      </c>
      <c r="C592" s="1425" t="s">
        <v>1003</v>
      </c>
      <c r="D592" s="1426"/>
      <c r="E592" s="1426"/>
      <c r="F592" s="1427"/>
      <c r="G592" s="614"/>
      <c r="H592" s="608"/>
      <c r="I592" s="417"/>
      <c r="J592" s="608"/>
      <c r="K592" s="404"/>
      <c r="L592" s="608"/>
      <c r="M592" s="608"/>
      <c r="N592" s="608"/>
      <c r="O592" s="404"/>
      <c r="P592" s="623"/>
    </row>
    <row r="593" spans="1:16" s="413" customFormat="1" ht="18">
      <c r="A593" s="433"/>
      <c r="B593" s="118" t="s">
        <v>1009</v>
      </c>
      <c r="C593" s="132" t="s">
        <v>113</v>
      </c>
      <c r="D593" s="129"/>
      <c r="E593" s="129"/>
      <c r="F593" s="130"/>
      <c r="G593" s="399"/>
      <c r="H593" s="120"/>
      <c r="I593" s="763"/>
      <c r="J593" s="764"/>
      <c r="K593" s="765"/>
      <c r="L593" s="762"/>
      <c r="M593" s="762"/>
      <c r="N593" s="762"/>
      <c r="O593" s="765"/>
      <c r="P593" s="766"/>
    </row>
    <row r="594" spans="1:16" s="413" customFormat="1" ht="18">
      <c r="A594" s="433"/>
      <c r="B594" s="118"/>
      <c r="C594" s="132" t="s">
        <v>114</v>
      </c>
      <c r="D594" s="129"/>
      <c r="E594" s="129"/>
      <c r="F594" s="130"/>
      <c r="G594" s="399" t="s">
        <v>273</v>
      </c>
      <c r="H594" s="120">
        <v>26.17</v>
      </c>
      <c r="I594" s="767">
        <v>201.96</v>
      </c>
      <c r="J594" s="764">
        <f>188.16</f>
        <v>188.16</v>
      </c>
      <c r="K594" s="769">
        <v>0</v>
      </c>
      <c r="L594" s="120">
        <f t="shared" ref="L594:L624" si="119">J594+K594</f>
        <v>188.16</v>
      </c>
      <c r="M594" s="120">
        <f t="shared" ref="M594:M624" si="120">I594*H594</f>
        <v>5285.293200000001</v>
      </c>
      <c r="N594" s="120">
        <f t="shared" ref="N594:N624" si="121">H594*J594</f>
        <v>4924.1472000000003</v>
      </c>
      <c r="O594" s="404">
        <f t="shared" ref="O594:O624" si="122">K594*H594</f>
        <v>0</v>
      </c>
      <c r="P594" s="127">
        <f t="shared" ref="P594:P624" si="123">H594*L594</f>
        <v>4924.1472000000003</v>
      </c>
    </row>
    <row r="595" spans="1:16" s="413" customFormat="1" ht="18">
      <c r="A595" s="433"/>
      <c r="B595" s="118"/>
      <c r="C595" s="132"/>
      <c r="D595" s="129"/>
      <c r="E595" s="129"/>
      <c r="F595" s="130"/>
      <c r="G595" s="399"/>
      <c r="H595" s="120"/>
      <c r="I595" s="767"/>
      <c r="J595" s="764"/>
      <c r="K595" s="769"/>
      <c r="L595" s="120">
        <f t="shared" si="119"/>
        <v>0</v>
      </c>
      <c r="M595" s="120">
        <f t="shared" si="120"/>
        <v>0</v>
      </c>
      <c r="N595" s="120">
        <f t="shared" si="121"/>
        <v>0</v>
      </c>
      <c r="O595" s="404">
        <f t="shared" si="122"/>
        <v>0</v>
      </c>
      <c r="P595" s="127">
        <f t="shared" si="123"/>
        <v>0</v>
      </c>
    </row>
    <row r="596" spans="1:16" s="413" customFormat="1" ht="18">
      <c r="A596" s="433"/>
      <c r="B596" s="118" t="s">
        <v>1010</v>
      </c>
      <c r="C596" s="132" t="s">
        <v>94</v>
      </c>
      <c r="D596" s="129"/>
      <c r="E596" s="129"/>
      <c r="F596" s="130"/>
      <c r="G596" s="399"/>
      <c r="H596" s="120"/>
      <c r="I596" s="767"/>
      <c r="J596" s="764"/>
      <c r="K596" s="769"/>
      <c r="L596" s="120">
        <f t="shared" si="119"/>
        <v>0</v>
      </c>
      <c r="M596" s="120">
        <f t="shared" si="120"/>
        <v>0</v>
      </c>
      <c r="N596" s="120">
        <f t="shared" si="121"/>
        <v>0</v>
      </c>
      <c r="O596" s="404">
        <f t="shared" si="122"/>
        <v>0</v>
      </c>
      <c r="P596" s="127">
        <f t="shared" si="123"/>
        <v>0</v>
      </c>
    </row>
    <row r="597" spans="1:16" s="413" customFormat="1" ht="18">
      <c r="A597" s="433"/>
      <c r="B597" s="118"/>
      <c r="C597" s="132" t="s">
        <v>95</v>
      </c>
      <c r="D597" s="129"/>
      <c r="E597" s="129"/>
      <c r="F597" s="130"/>
      <c r="G597" s="399" t="s">
        <v>273</v>
      </c>
      <c r="H597" s="120">
        <v>48.12</v>
      </c>
      <c r="I597" s="767">
        <v>188.5</v>
      </c>
      <c r="J597" s="764">
        <f>188.16</f>
        <v>188.16</v>
      </c>
      <c r="K597" s="769">
        <v>0</v>
      </c>
      <c r="L597" s="120">
        <f t="shared" si="119"/>
        <v>188.16</v>
      </c>
      <c r="M597" s="120">
        <f t="shared" si="120"/>
        <v>9070.619999999999</v>
      </c>
      <c r="N597" s="120">
        <f t="shared" si="121"/>
        <v>9054.2591999999986</v>
      </c>
      <c r="O597" s="404">
        <f t="shared" si="122"/>
        <v>0</v>
      </c>
      <c r="P597" s="127">
        <f t="shared" si="123"/>
        <v>9054.2591999999986</v>
      </c>
    </row>
    <row r="598" spans="1:16" s="413" customFormat="1" ht="18">
      <c r="A598" s="433"/>
      <c r="B598" s="118"/>
      <c r="C598" s="132"/>
      <c r="D598" s="129"/>
      <c r="E598" s="129"/>
      <c r="F598" s="130"/>
      <c r="G598" s="399"/>
      <c r="H598" s="120"/>
      <c r="I598" s="767"/>
      <c r="J598" s="764"/>
      <c r="K598" s="769"/>
      <c r="L598" s="120">
        <f t="shared" si="119"/>
        <v>0</v>
      </c>
      <c r="M598" s="120">
        <f t="shared" si="120"/>
        <v>0</v>
      </c>
      <c r="N598" s="120">
        <f t="shared" si="121"/>
        <v>0</v>
      </c>
      <c r="O598" s="404">
        <f t="shared" si="122"/>
        <v>0</v>
      </c>
      <c r="P598" s="127">
        <f t="shared" si="123"/>
        <v>0</v>
      </c>
    </row>
    <row r="599" spans="1:16" s="413" customFormat="1" ht="18">
      <c r="A599" s="433"/>
      <c r="B599" s="118" t="s">
        <v>1011</v>
      </c>
      <c r="C599" s="132" t="s">
        <v>105</v>
      </c>
      <c r="D599" s="129"/>
      <c r="E599" s="129"/>
      <c r="F599" s="130"/>
      <c r="G599" s="399"/>
      <c r="H599" s="120"/>
      <c r="I599" s="767"/>
      <c r="J599" s="764"/>
      <c r="K599" s="769"/>
      <c r="L599" s="120">
        <f t="shared" si="119"/>
        <v>0</v>
      </c>
      <c r="M599" s="120">
        <f t="shared" si="120"/>
        <v>0</v>
      </c>
      <c r="N599" s="120">
        <f t="shared" si="121"/>
        <v>0</v>
      </c>
      <c r="O599" s="404">
        <f t="shared" si="122"/>
        <v>0</v>
      </c>
      <c r="P599" s="127">
        <f t="shared" si="123"/>
        <v>0</v>
      </c>
    </row>
    <row r="600" spans="1:16" s="413" customFormat="1" ht="18">
      <c r="A600" s="433"/>
      <c r="B600" s="118"/>
      <c r="C600" s="132" t="s">
        <v>106</v>
      </c>
      <c r="D600" s="129"/>
      <c r="E600" s="129"/>
      <c r="F600" s="130"/>
      <c r="G600" s="399" t="s">
        <v>273</v>
      </c>
      <c r="H600" s="120">
        <v>70.069999999999993</v>
      </c>
      <c r="I600" s="767">
        <v>93.46</v>
      </c>
      <c r="J600" s="764">
        <f>34.08</f>
        <v>34.08</v>
      </c>
      <c r="K600" s="769">
        <v>0</v>
      </c>
      <c r="L600" s="120">
        <f t="shared" si="119"/>
        <v>34.08</v>
      </c>
      <c r="M600" s="120">
        <f t="shared" si="120"/>
        <v>6548.7421999999988</v>
      </c>
      <c r="N600" s="120">
        <f t="shared" si="121"/>
        <v>2387.9855999999995</v>
      </c>
      <c r="O600" s="404">
        <f t="shared" si="122"/>
        <v>0</v>
      </c>
      <c r="P600" s="127">
        <f t="shared" si="123"/>
        <v>2387.9855999999995</v>
      </c>
    </row>
    <row r="601" spans="1:16" s="413" customFormat="1" ht="18">
      <c r="A601" s="433"/>
      <c r="B601" s="118"/>
      <c r="C601" s="132"/>
      <c r="D601" s="129"/>
      <c r="E601" s="129"/>
      <c r="F601" s="130"/>
      <c r="G601" s="399"/>
      <c r="H601" s="120"/>
      <c r="I601" s="767"/>
      <c r="J601" s="764"/>
      <c r="K601" s="769"/>
      <c r="L601" s="120">
        <f t="shared" si="119"/>
        <v>0</v>
      </c>
      <c r="M601" s="120">
        <f t="shared" si="120"/>
        <v>0</v>
      </c>
      <c r="N601" s="120">
        <f t="shared" si="121"/>
        <v>0</v>
      </c>
      <c r="O601" s="404">
        <f t="shared" si="122"/>
        <v>0</v>
      </c>
      <c r="P601" s="127">
        <f t="shared" si="123"/>
        <v>0</v>
      </c>
    </row>
    <row r="602" spans="1:16" s="413" customFormat="1" ht="18">
      <c r="A602" s="433"/>
      <c r="B602" s="118" t="s">
        <v>1012</v>
      </c>
      <c r="C602" s="132" t="s">
        <v>111</v>
      </c>
      <c r="D602" s="129"/>
      <c r="E602" s="129"/>
      <c r="F602" s="130"/>
      <c r="G602" s="399"/>
      <c r="H602" s="120"/>
      <c r="I602" s="767"/>
      <c r="J602" s="764"/>
      <c r="K602" s="769"/>
      <c r="L602" s="120">
        <f t="shared" si="119"/>
        <v>0</v>
      </c>
      <c r="M602" s="120">
        <f t="shared" si="120"/>
        <v>0</v>
      </c>
      <c r="N602" s="120">
        <f t="shared" si="121"/>
        <v>0</v>
      </c>
      <c r="O602" s="404">
        <f t="shared" si="122"/>
        <v>0</v>
      </c>
      <c r="P602" s="127">
        <f t="shared" si="123"/>
        <v>0</v>
      </c>
    </row>
    <row r="603" spans="1:16" s="413" customFormat="1" ht="18">
      <c r="A603" s="433"/>
      <c r="B603" s="118"/>
      <c r="C603" s="1413" t="s">
        <v>1177</v>
      </c>
      <c r="D603" s="1414"/>
      <c r="E603" s="1414"/>
      <c r="F603" s="1415"/>
      <c r="G603" s="399" t="s">
        <v>273</v>
      </c>
      <c r="H603" s="404">
        <v>101.87</v>
      </c>
      <c r="I603" s="767">
        <v>160.08000000000001</v>
      </c>
      <c r="J603" s="764">
        <v>210</v>
      </c>
      <c r="K603" s="769"/>
      <c r="L603" s="120">
        <f t="shared" si="119"/>
        <v>210</v>
      </c>
      <c r="M603" s="120">
        <f t="shared" si="120"/>
        <v>16307.349600000001</v>
      </c>
      <c r="N603" s="120">
        <f t="shared" si="121"/>
        <v>21392.7</v>
      </c>
      <c r="O603" s="404">
        <f t="shared" si="122"/>
        <v>0</v>
      </c>
      <c r="P603" s="127">
        <f t="shared" si="123"/>
        <v>21392.7</v>
      </c>
    </row>
    <row r="604" spans="1:16" s="413" customFormat="1" ht="18">
      <c r="A604" s="433"/>
      <c r="B604" s="118"/>
      <c r="C604" s="132"/>
      <c r="D604" s="129"/>
      <c r="E604" s="129"/>
      <c r="F604" s="130"/>
      <c r="G604" s="399"/>
      <c r="H604" s="120"/>
      <c r="I604" s="767"/>
      <c r="J604" s="764"/>
      <c r="K604" s="769"/>
      <c r="L604" s="120">
        <f t="shared" si="119"/>
        <v>0</v>
      </c>
      <c r="M604" s="120">
        <f t="shared" si="120"/>
        <v>0</v>
      </c>
      <c r="N604" s="120">
        <f t="shared" si="121"/>
        <v>0</v>
      </c>
      <c r="O604" s="404">
        <f t="shared" si="122"/>
        <v>0</v>
      </c>
      <c r="P604" s="127">
        <f t="shared" si="123"/>
        <v>0</v>
      </c>
    </row>
    <row r="605" spans="1:16" s="413" customFormat="1" ht="18">
      <c r="A605" s="433"/>
      <c r="B605" s="118" t="s">
        <v>1013</v>
      </c>
      <c r="C605" s="132" t="s">
        <v>100</v>
      </c>
      <c r="D605" s="129"/>
      <c r="E605" s="129"/>
      <c r="F605" s="130"/>
      <c r="G605" s="399"/>
      <c r="H605" s="120"/>
      <c r="I605" s="767"/>
      <c r="J605" s="764"/>
      <c r="K605" s="769"/>
      <c r="L605" s="120">
        <f t="shared" si="119"/>
        <v>0</v>
      </c>
      <c r="M605" s="120">
        <f t="shared" si="120"/>
        <v>0</v>
      </c>
      <c r="N605" s="120">
        <f t="shared" si="121"/>
        <v>0</v>
      </c>
      <c r="O605" s="404">
        <f t="shared" si="122"/>
        <v>0</v>
      </c>
      <c r="P605" s="127">
        <f t="shared" si="123"/>
        <v>0</v>
      </c>
    </row>
    <row r="606" spans="1:16" s="413" customFormat="1" ht="18">
      <c r="A606" s="433"/>
      <c r="B606" s="118"/>
      <c r="C606" s="132" t="s">
        <v>108</v>
      </c>
      <c r="D606" s="129"/>
      <c r="E606" s="129"/>
      <c r="F606" s="130"/>
      <c r="G606" s="399" t="s">
        <v>273</v>
      </c>
      <c r="H606" s="120">
        <v>34.69</v>
      </c>
      <c r="I606" s="767">
        <v>685.07</v>
      </c>
      <c r="J606" s="764">
        <f>470.4</f>
        <v>470.4</v>
      </c>
      <c r="K606" s="769">
        <v>0</v>
      </c>
      <c r="L606" s="120">
        <f t="shared" si="119"/>
        <v>470.4</v>
      </c>
      <c r="M606" s="120">
        <f t="shared" si="120"/>
        <v>23765.078300000001</v>
      </c>
      <c r="N606" s="120">
        <f t="shared" si="121"/>
        <v>16318.175999999998</v>
      </c>
      <c r="O606" s="404">
        <f t="shared" si="122"/>
        <v>0</v>
      </c>
      <c r="P606" s="127">
        <f t="shared" si="123"/>
        <v>16318.175999999998</v>
      </c>
    </row>
    <row r="607" spans="1:16" s="413" customFormat="1" ht="18.75">
      <c r="A607" s="433"/>
      <c r="B607" s="461"/>
      <c r="C607" s="467" t="s">
        <v>868</v>
      </c>
      <c r="D607" s="470"/>
      <c r="E607" s="249"/>
      <c r="F607" s="250"/>
      <c r="G607" s="462"/>
      <c r="H607" s="158"/>
      <c r="I607" s="767"/>
      <c r="J607" s="764"/>
      <c r="K607" s="769"/>
      <c r="L607" s="120">
        <f t="shared" si="119"/>
        <v>0</v>
      </c>
      <c r="M607" s="120">
        <f t="shared" si="120"/>
        <v>0</v>
      </c>
      <c r="N607" s="120">
        <f t="shared" si="121"/>
        <v>0</v>
      </c>
      <c r="O607" s="404">
        <f t="shared" si="122"/>
        <v>0</v>
      </c>
      <c r="P607" s="127">
        <f t="shared" si="123"/>
        <v>0</v>
      </c>
    </row>
    <row r="608" spans="1:16" s="413" customFormat="1" ht="18">
      <c r="A608" s="433"/>
      <c r="B608" s="461" t="s">
        <v>1014</v>
      </c>
      <c r="C608" s="1367" t="s">
        <v>558</v>
      </c>
      <c r="D608" s="1368"/>
      <c r="E608" s="1368"/>
      <c r="F608" s="1369"/>
      <c r="G608" s="464"/>
      <c r="H608" s="158"/>
      <c r="I608" s="767"/>
      <c r="J608" s="764"/>
      <c r="K608" s="769"/>
      <c r="L608" s="120">
        <f t="shared" si="119"/>
        <v>0</v>
      </c>
      <c r="M608" s="120">
        <f t="shared" si="120"/>
        <v>0</v>
      </c>
      <c r="N608" s="120">
        <f t="shared" si="121"/>
        <v>0</v>
      </c>
      <c r="O608" s="404">
        <f t="shared" si="122"/>
        <v>0</v>
      </c>
      <c r="P608" s="127">
        <f t="shared" si="123"/>
        <v>0</v>
      </c>
    </row>
    <row r="609" spans="1:16" s="413" customFormat="1" ht="18.75">
      <c r="A609" s="433"/>
      <c r="B609" s="135"/>
      <c r="C609" s="465" t="s">
        <v>268</v>
      </c>
      <c r="D609" s="470"/>
      <c r="E609" s="249"/>
      <c r="F609" s="250"/>
      <c r="G609" s="463" t="s">
        <v>580</v>
      </c>
      <c r="H609" s="637">
        <v>35.47</v>
      </c>
      <c r="I609" s="767">
        <v>35.47</v>
      </c>
      <c r="J609" s="764">
        <f>84.24</f>
        <v>84.24</v>
      </c>
      <c r="K609" s="769">
        <v>0</v>
      </c>
      <c r="L609" s="120">
        <f t="shared" si="119"/>
        <v>84.24</v>
      </c>
      <c r="M609" s="120">
        <f t="shared" si="120"/>
        <v>1258.1208999999999</v>
      </c>
      <c r="N609" s="120">
        <f t="shared" si="121"/>
        <v>2987.9927999999995</v>
      </c>
      <c r="O609" s="404">
        <f t="shared" si="122"/>
        <v>0</v>
      </c>
      <c r="P609" s="127">
        <f t="shared" si="123"/>
        <v>2987.9927999999995</v>
      </c>
    </row>
    <row r="610" spans="1:16" s="413" customFormat="1" ht="18">
      <c r="A610" s="433"/>
      <c r="B610" s="461" t="s">
        <v>1015</v>
      </c>
      <c r="C610" s="1367" t="s">
        <v>582</v>
      </c>
      <c r="D610" s="1368"/>
      <c r="E610" s="1368"/>
      <c r="F610" s="1369"/>
      <c r="G610" s="464"/>
      <c r="H610" s="158"/>
      <c r="I610" s="767"/>
      <c r="J610" s="764"/>
      <c r="K610" s="769"/>
      <c r="L610" s="120">
        <f t="shared" si="119"/>
        <v>0</v>
      </c>
      <c r="M610" s="120">
        <f t="shared" si="120"/>
        <v>0</v>
      </c>
      <c r="N610" s="120">
        <f t="shared" si="121"/>
        <v>0</v>
      </c>
      <c r="O610" s="404">
        <f t="shared" si="122"/>
        <v>0</v>
      </c>
      <c r="P610" s="127">
        <f t="shared" si="123"/>
        <v>0</v>
      </c>
    </row>
    <row r="611" spans="1:16" s="413" customFormat="1" ht="18">
      <c r="A611" s="433"/>
      <c r="B611" s="466"/>
      <c r="C611" s="467" t="s">
        <v>1005</v>
      </c>
      <c r="D611" s="470"/>
      <c r="E611" s="249"/>
      <c r="F611" s="250"/>
      <c r="G611" s="463" t="s">
        <v>614</v>
      </c>
      <c r="H611" s="158">
        <f>[1]BOQ!$E$431</f>
        <v>1434.18</v>
      </c>
      <c r="I611" s="767">
        <v>17.920000000000002</v>
      </c>
      <c r="J611" s="764">
        <v>46.5</v>
      </c>
      <c r="K611" s="769"/>
      <c r="L611" s="120">
        <f t="shared" si="119"/>
        <v>46.5</v>
      </c>
      <c r="M611" s="120">
        <f t="shared" si="120"/>
        <v>25700.505600000004</v>
      </c>
      <c r="N611" s="120">
        <f t="shared" si="121"/>
        <v>66689.37000000001</v>
      </c>
      <c r="O611" s="404">
        <f t="shared" si="122"/>
        <v>0</v>
      </c>
      <c r="P611" s="127">
        <f t="shared" si="123"/>
        <v>66689.37000000001</v>
      </c>
    </row>
    <row r="612" spans="1:16" s="413" customFormat="1" ht="18">
      <c r="A612" s="433"/>
      <c r="B612" s="466"/>
      <c r="C612" s="467" t="s">
        <v>1004</v>
      </c>
      <c r="D612" s="470"/>
      <c r="E612" s="249"/>
      <c r="F612" s="250"/>
      <c r="G612" s="463" t="s">
        <v>614</v>
      </c>
      <c r="H612" s="158">
        <f>[1]BOQ!$E$431</f>
        <v>1434.18</v>
      </c>
      <c r="I612" s="767">
        <v>12.87</v>
      </c>
      <c r="J612" s="764">
        <v>6.05</v>
      </c>
      <c r="K612" s="769">
        <v>0</v>
      </c>
      <c r="L612" s="120">
        <f t="shared" si="119"/>
        <v>6.05</v>
      </c>
      <c r="M612" s="120">
        <f t="shared" si="120"/>
        <v>18457.8966</v>
      </c>
      <c r="N612" s="120">
        <f t="shared" si="121"/>
        <v>8676.7890000000007</v>
      </c>
      <c r="O612" s="404">
        <f t="shared" si="122"/>
        <v>0</v>
      </c>
      <c r="P612" s="127">
        <f t="shared" si="123"/>
        <v>8676.7890000000007</v>
      </c>
    </row>
    <row r="613" spans="1:16" s="413" customFormat="1" ht="18">
      <c r="A613" s="433"/>
      <c r="B613" s="466"/>
      <c r="C613" s="467" t="s">
        <v>1006</v>
      </c>
      <c r="D613" s="470"/>
      <c r="E613" s="249"/>
      <c r="F613" s="250"/>
      <c r="G613" s="463" t="s">
        <v>614</v>
      </c>
      <c r="H613" s="158">
        <f>[1]BOQ!$E$431</f>
        <v>1434.18</v>
      </c>
      <c r="I613" s="767">
        <v>43.16</v>
      </c>
      <c r="J613" s="764">
        <f>35</f>
        <v>35</v>
      </c>
      <c r="K613" s="769">
        <v>0</v>
      </c>
      <c r="L613" s="120">
        <f t="shared" si="119"/>
        <v>35</v>
      </c>
      <c r="M613" s="120">
        <f t="shared" si="120"/>
        <v>61899.2088</v>
      </c>
      <c r="N613" s="120">
        <f t="shared" si="121"/>
        <v>50196.3</v>
      </c>
      <c r="O613" s="404">
        <f t="shared" si="122"/>
        <v>0</v>
      </c>
      <c r="P613" s="127">
        <f t="shared" si="123"/>
        <v>50196.3</v>
      </c>
    </row>
    <row r="614" spans="1:16" s="413" customFormat="1" ht="18">
      <c r="A614" s="433"/>
      <c r="B614" s="636" t="s">
        <v>1016</v>
      </c>
      <c r="C614" s="1428" t="s">
        <v>560</v>
      </c>
      <c r="D614" s="1429"/>
      <c r="E614" s="1429"/>
      <c r="F614" s="1430"/>
      <c r="G614" s="464"/>
      <c r="H614" s="158"/>
      <c r="I614" s="767"/>
      <c r="J614" s="764"/>
      <c r="K614" s="769"/>
      <c r="L614" s="120">
        <f t="shared" si="119"/>
        <v>0</v>
      </c>
      <c r="M614" s="120">
        <f t="shared" si="120"/>
        <v>0</v>
      </c>
      <c r="N614" s="120">
        <f t="shared" si="121"/>
        <v>0</v>
      </c>
      <c r="O614" s="404">
        <f t="shared" si="122"/>
        <v>0</v>
      </c>
      <c r="P614" s="127">
        <f t="shared" si="123"/>
        <v>0</v>
      </c>
    </row>
    <row r="615" spans="1:16" s="413" customFormat="1" ht="18.75">
      <c r="A615" s="433"/>
      <c r="B615" s="468"/>
      <c r="C615" s="1367" t="s">
        <v>1007</v>
      </c>
      <c r="D615" s="1368"/>
      <c r="E615" s="1368"/>
      <c r="F615" s="1369"/>
      <c r="G615" s="469" t="s">
        <v>580</v>
      </c>
      <c r="H615" s="158">
        <v>58.19</v>
      </c>
      <c r="I615" s="767">
        <v>19.95</v>
      </c>
      <c r="J615" s="764">
        <f>35.5</f>
        <v>35.5</v>
      </c>
      <c r="K615" s="769">
        <v>0</v>
      </c>
      <c r="L615" s="120">
        <f t="shared" si="119"/>
        <v>35.5</v>
      </c>
      <c r="M615" s="120">
        <f t="shared" si="120"/>
        <v>1160.8905</v>
      </c>
      <c r="N615" s="120">
        <f t="shared" si="121"/>
        <v>2065.7449999999999</v>
      </c>
      <c r="O615" s="404">
        <f t="shared" si="122"/>
        <v>0</v>
      </c>
      <c r="P615" s="127">
        <f t="shared" si="123"/>
        <v>2065.7449999999999</v>
      </c>
    </row>
    <row r="616" spans="1:16" s="413" customFormat="1" ht="18.75">
      <c r="A616" s="433"/>
      <c r="B616" s="468"/>
      <c r="C616" s="1367" t="s">
        <v>1008</v>
      </c>
      <c r="D616" s="1368"/>
      <c r="E616" s="1368"/>
      <c r="F616" s="1369"/>
      <c r="G616" s="469" t="s">
        <v>580</v>
      </c>
      <c r="H616" s="158">
        <f>[1]BOQ!$E$436</f>
        <v>58.19</v>
      </c>
      <c r="I616" s="767">
        <v>217</v>
      </c>
      <c r="J616" s="764">
        <f>252.05</f>
        <v>252.05</v>
      </c>
      <c r="K616" s="769">
        <v>0</v>
      </c>
      <c r="L616" s="120">
        <f t="shared" si="119"/>
        <v>252.05</v>
      </c>
      <c r="M616" s="120">
        <f t="shared" si="120"/>
        <v>12627.23</v>
      </c>
      <c r="N616" s="120">
        <f t="shared" si="121"/>
        <v>14666.789500000001</v>
      </c>
      <c r="O616" s="404">
        <f t="shared" si="122"/>
        <v>0</v>
      </c>
      <c r="P616" s="127">
        <f t="shared" si="123"/>
        <v>14666.789500000001</v>
      </c>
    </row>
    <row r="617" spans="1:16" s="413" customFormat="1" ht="18">
      <c r="A617" s="433"/>
      <c r="B617" s="636" t="s">
        <v>1017</v>
      </c>
      <c r="C617" s="1367" t="s">
        <v>626</v>
      </c>
      <c r="D617" s="1368"/>
      <c r="E617" s="1368"/>
      <c r="F617" s="1369"/>
      <c r="G617" s="464"/>
      <c r="H617" s="158"/>
      <c r="I617" s="767"/>
      <c r="J617" s="764"/>
      <c r="K617" s="769"/>
      <c r="L617" s="120">
        <f t="shared" si="119"/>
        <v>0</v>
      </c>
      <c r="M617" s="120">
        <f t="shared" si="120"/>
        <v>0</v>
      </c>
      <c r="N617" s="120">
        <f t="shared" si="121"/>
        <v>0</v>
      </c>
      <c r="O617" s="404">
        <f t="shared" si="122"/>
        <v>0</v>
      </c>
      <c r="P617" s="127">
        <f t="shared" si="123"/>
        <v>0</v>
      </c>
    </row>
    <row r="618" spans="1:16" s="413" customFormat="1" ht="18">
      <c r="A618" s="433"/>
      <c r="B618" s="461"/>
      <c r="C618" s="1367" t="s">
        <v>734</v>
      </c>
      <c r="D618" s="1368"/>
      <c r="E618" s="1368"/>
      <c r="F618" s="1369"/>
      <c r="G618" s="464" t="s">
        <v>589</v>
      </c>
      <c r="H618" s="398">
        <v>2.02</v>
      </c>
      <c r="I618" s="767">
        <v>4083.54</v>
      </c>
      <c r="J618" s="764">
        <f>5634</f>
        <v>5634</v>
      </c>
      <c r="K618" s="769">
        <v>0</v>
      </c>
      <c r="L618" s="120">
        <f t="shared" si="119"/>
        <v>5634</v>
      </c>
      <c r="M618" s="120">
        <f t="shared" si="120"/>
        <v>8248.7507999999998</v>
      </c>
      <c r="N618" s="120">
        <f t="shared" si="121"/>
        <v>11380.68</v>
      </c>
      <c r="O618" s="404">
        <f t="shared" si="122"/>
        <v>0</v>
      </c>
      <c r="P618" s="127">
        <f t="shared" si="123"/>
        <v>11380.68</v>
      </c>
    </row>
    <row r="619" spans="1:16" s="413" customFormat="1" ht="18">
      <c r="A619" s="433"/>
      <c r="B619" s="461"/>
      <c r="C619" s="1367" t="s">
        <v>735</v>
      </c>
      <c r="D619" s="1368"/>
      <c r="E619" s="1368"/>
      <c r="F619" s="1369"/>
      <c r="G619" s="464" t="s">
        <v>589</v>
      </c>
      <c r="H619" s="120">
        <v>2.02</v>
      </c>
      <c r="I619" s="767">
        <v>4608.1000000000004</v>
      </c>
      <c r="J619" s="764">
        <v>6573.3</v>
      </c>
      <c r="K619" s="769"/>
      <c r="L619" s="120">
        <f t="shared" si="119"/>
        <v>6573.3</v>
      </c>
      <c r="M619" s="120">
        <f t="shared" si="120"/>
        <v>9308.362000000001</v>
      </c>
      <c r="N619" s="120">
        <f t="shared" si="121"/>
        <v>13278.066000000001</v>
      </c>
      <c r="O619" s="404">
        <f t="shared" si="122"/>
        <v>0</v>
      </c>
      <c r="P619" s="127">
        <f t="shared" si="123"/>
        <v>13278.066000000001</v>
      </c>
    </row>
    <row r="620" spans="1:16" s="413" customFormat="1" ht="18">
      <c r="A620" s="433"/>
      <c r="B620" s="636" t="s">
        <v>1018</v>
      </c>
      <c r="C620" s="1367" t="s">
        <v>591</v>
      </c>
      <c r="D620" s="1368"/>
      <c r="E620" s="1368"/>
      <c r="F620" s="1369"/>
      <c r="G620" s="469" t="s">
        <v>592</v>
      </c>
      <c r="H620" s="120">
        <v>235</v>
      </c>
      <c r="I620" s="767">
        <v>0</v>
      </c>
      <c r="J620" s="764">
        <f>36.38</f>
        <v>36.380000000000003</v>
      </c>
      <c r="K620" s="769"/>
      <c r="L620" s="120">
        <f t="shared" si="119"/>
        <v>36.380000000000003</v>
      </c>
      <c r="M620" s="120">
        <f t="shared" si="120"/>
        <v>0</v>
      </c>
      <c r="N620" s="120">
        <f t="shared" si="121"/>
        <v>8549.3000000000011</v>
      </c>
      <c r="O620" s="404">
        <f t="shared" si="122"/>
        <v>0</v>
      </c>
      <c r="P620" s="127">
        <f t="shared" si="123"/>
        <v>8549.3000000000011</v>
      </c>
    </row>
    <row r="621" spans="1:16" s="413" customFormat="1" ht="18.75" thickBot="1">
      <c r="A621" s="433"/>
      <c r="B621" s="758"/>
      <c r="C621" s="759"/>
      <c r="D621" s="760"/>
      <c r="E621" s="760"/>
      <c r="F621" s="760"/>
      <c r="G621" s="761"/>
      <c r="H621" s="762"/>
      <c r="I621" s="767"/>
      <c r="J621" s="764"/>
      <c r="K621" s="765"/>
      <c r="L621" s="120">
        <f t="shared" si="119"/>
        <v>0</v>
      </c>
      <c r="M621" s="120">
        <f t="shared" si="120"/>
        <v>0</v>
      </c>
      <c r="N621" s="120">
        <f t="shared" si="121"/>
        <v>0</v>
      </c>
      <c r="O621" s="404">
        <f t="shared" si="122"/>
        <v>0</v>
      </c>
      <c r="P621" s="127">
        <f t="shared" si="123"/>
        <v>0</v>
      </c>
    </row>
    <row r="622" spans="1:16" s="413" customFormat="1" ht="19.5" thickTop="1" thickBot="1">
      <c r="A622" s="433"/>
      <c r="B622" s="440"/>
      <c r="C622" s="527" t="s">
        <v>713</v>
      </c>
      <c r="D622" s="528"/>
      <c r="E622" s="528"/>
      <c r="F622" s="528"/>
      <c r="G622" s="529"/>
      <c r="H622" s="530"/>
      <c r="I622" s="634"/>
      <c r="J622" s="531"/>
      <c r="K622" s="443"/>
      <c r="L622" s="530">
        <f>L491+L438+L557+L621</f>
        <v>0</v>
      </c>
      <c r="M622" s="530">
        <f>SUM(M594:M620)</f>
        <v>199638.04850000003</v>
      </c>
      <c r="N622" s="530">
        <f>SUM(N594:N621)</f>
        <v>232568.3003</v>
      </c>
      <c r="O622" s="443">
        <f>SUM(O594:O620)</f>
        <v>0</v>
      </c>
      <c r="P622" s="530">
        <f>O622+N622</f>
        <v>232568.3003</v>
      </c>
    </row>
    <row r="623" spans="1:16" s="610" customFormat="1" ht="16.5" thickTop="1">
      <c r="A623" s="603"/>
      <c r="B623" s="604">
        <v>13</v>
      </c>
      <c r="C623" s="1425" t="s">
        <v>283</v>
      </c>
      <c r="D623" s="1426"/>
      <c r="E623" s="1426"/>
      <c r="F623" s="1427"/>
      <c r="G623" s="614"/>
      <c r="H623" s="608"/>
      <c r="I623" s="768"/>
      <c r="J623" s="608"/>
      <c r="K623" s="404"/>
      <c r="L623" s="120">
        <f t="shared" si="119"/>
        <v>0</v>
      </c>
      <c r="M623" s="120">
        <f t="shared" si="120"/>
        <v>0</v>
      </c>
      <c r="N623" s="120">
        <f t="shared" si="121"/>
        <v>0</v>
      </c>
      <c r="O623" s="404">
        <f t="shared" si="122"/>
        <v>0</v>
      </c>
      <c r="P623" s="127">
        <f t="shared" si="123"/>
        <v>0</v>
      </c>
    </row>
    <row r="624" spans="1:16" s="413" customFormat="1" ht="90" customHeight="1">
      <c r="A624" s="433"/>
      <c r="B624" s="118">
        <v>13.1</v>
      </c>
      <c r="C624" s="1496" t="s">
        <v>711</v>
      </c>
      <c r="D624" s="1497"/>
      <c r="E624" s="1497"/>
      <c r="F624" s="1498"/>
      <c r="G624" s="221"/>
      <c r="H624" s="120"/>
      <c r="I624" s="768"/>
      <c r="J624" s="120"/>
      <c r="K624" s="404"/>
      <c r="L624" s="120">
        <f t="shared" si="119"/>
        <v>0</v>
      </c>
      <c r="M624" s="120">
        <f t="shared" si="120"/>
        <v>0</v>
      </c>
      <c r="N624" s="120">
        <f t="shared" si="121"/>
        <v>0</v>
      </c>
      <c r="O624" s="404">
        <f t="shared" si="122"/>
        <v>0</v>
      </c>
      <c r="P624" s="127">
        <f t="shared" si="123"/>
        <v>0</v>
      </c>
    </row>
    <row r="625" spans="1:16" s="413" customFormat="1" ht="16.5" thickBot="1">
      <c r="A625" s="433"/>
      <c r="B625" s="118"/>
      <c r="C625" s="1413" t="s">
        <v>712</v>
      </c>
      <c r="D625" s="1414"/>
      <c r="E625" s="1414"/>
      <c r="F625" s="1415"/>
      <c r="G625" s="399" t="s">
        <v>190</v>
      </c>
      <c r="H625" s="120">
        <v>38477.760000000002</v>
      </c>
      <c r="I625" s="417">
        <v>1</v>
      </c>
      <c r="J625" s="120">
        <v>0.67</v>
      </c>
      <c r="K625" s="404">
        <v>0</v>
      </c>
      <c r="L625" s="120">
        <f>J625+K625</f>
        <v>0.67</v>
      </c>
      <c r="M625" s="120">
        <f>I625*H625</f>
        <v>38477.760000000002</v>
      </c>
      <c r="N625" s="120">
        <f t="shared" ref="N625:N641" si="124">H625*J625</f>
        <v>25780.099200000004</v>
      </c>
      <c r="O625" s="404">
        <f>K625*H625</f>
        <v>0</v>
      </c>
      <c r="P625" s="127">
        <f>H625*L625</f>
        <v>25780.099200000004</v>
      </c>
    </row>
    <row r="626" spans="1:16" s="413" customFormat="1" ht="19.5" thickTop="1" thickBot="1">
      <c r="A626" s="433"/>
      <c r="B626" s="440"/>
      <c r="C626" s="527" t="s">
        <v>713</v>
      </c>
      <c r="D626" s="528"/>
      <c r="E626" s="528"/>
      <c r="F626" s="528"/>
      <c r="G626" s="529"/>
      <c r="H626" s="530"/>
      <c r="I626" s="634"/>
      <c r="J626" s="531"/>
      <c r="K626" s="443"/>
      <c r="L626" s="530"/>
      <c r="M626" s="530">
        <f>SUM(M624:M625)</f>
        <v>38477.760000000002</v>
      </c>
      <c r="N626" s="530">
        <f>SUM(N624:N625)</f>
        <v>25780.099200000004</v>
      </c>
      <c r="O626" s="443">
        <f t="shared" ref="O626:P626" si="125">SUM(O624:O625)</f>
        <v>0</v>
      </c>
      <c r="P626" s="530">
        <f t="shared" si="125"/>
        <v>25780.099200000004</v>
      </c>
    </row>
    <row r="627" spans="1:16" s="413" customFormat="1" ht="18.75" thickTop="1">
      <c r="A627" s="433"/>
      <c r="B627" s="740"/>
      <c r="C627" s="741"/>
      <c r="D627" s="742"/>
      <c r="E627" s="742"/>
      <c r="F627" s="742"/>
      <c r="G627" s="743"/>
      <c r="H627" s="744"/>
      <c r="I627" s="745"/>
      <c r="J627" s="746"/>
      <c r="K627" s="747"/>
      <c r="L627" s="744"/>
      <c r="M627" s="744"/>
      <c r="N627" s="744"/>
      <c r="O627" s="747"/>
      <c r="P627" s="779"/>
    </row>
    <row r="628" spans="1:16" s="413" customFormat="1" ht="15.75">
      <c r="A628" s="433"/>
      <c r="B628" s="604">
        <v>14</v>
      </c>
      <c r="C628" s="1425" t="s">
        <v>276</v>
      </c>
      <c r="D628" s="1426"/>
      <c r="E628" s="1426"/>
      <c r="F628" s="1427"/>
      <c r="G628" s="614"/>
      <c r="H628" s="608"/>
      <c r="I628" s="768"/>
      <c r="J628" s="608"/>
      <c r="K628" s="404"/>
      <c r="L628" s="120">
        <f t="shared" ref="L628:L634" si="126">J628+K628</f>
        <v>0</v>
      </c>
      <c r="M628" s="120">
        <f t="shared" ref="M628:M634" si="127">I628*H628</f>
        <v>0</v>
      </c>
      <c r="N628" s="120">
        <f t="shared" ref="N628:N634" si="128">H628*J628</f>
        <v>0</v>
      </c>
      <c r="O628" s="404">
        <f t="shared" ref="O628:O634" si="129">K628*H628</f>
        <v>0</v>
      </c>
      <c r="P628" s="127">
        <f t="shared" ref="P628:P634" si="130">H628*L628</f>
        <v>0</v>
      </c>
    </row>
    <row r="629" spans="1:16" s="413" customFormat="1" ht="15.75">
      <c r="A629" s="433"/>
      <c r="B629" s="254"/>
      <c r="C629" s="771" t="s">
        <v>1019</v>
      </c>
      <c r="D629" s="772"/>
      <c r="E629" s="772"/>
      <c r="F629" s="772"/>
      <c r="G629" s="264"/>
      <c r="H629" s="246"/>
      <c r="I629" s="416"/>
      <c r="J629" s="246"/>
      <c r="K629" s="403"/>
      <c r="L629" s="120">
        <f t="shared" si="126"/>
        <v>0</v>
      </c>
      <c r="M629" s="120">
        <f t="shared" si="127"/>
        <v>0</v>
      </c>
      <c r="N629" s="120">
        <f t="shared" si="128"/>
        <v>0</v>
      </c>
      <c r="O629" s="404">
        <f t="shared" si="129"/>
        <v>0</v>
      </c>
      <c r="P629" s="127">
        <f t="shared" si="130"/>
        <v>0</v>
      </c>
    </row>
    <row r="630" spans="1:16" s="770" customFormat="1" ht="15.75">
      <c r="B630" s="254"/>
      <c r="C630" s="771" t="s">
        <v>1020</v>
      </c>
      <c r="D630" s="772"/>
      <c r="E630" s="772"/>
      <c r="F630" s="772"/>
      <c r="G630" s="264"/>
      <c r="H630" s="246"/>
      <c r="I630" s="416"/>
      <c r="J630" s="246"/>
      <c r="K630" s="403"/>
      <c r="L630" s="120">
        <f t="shared" si="126"/>
        <v>0</v>
      </c>
      <c r="M630" s="120">
        <f t="shared" si="127"/>
        <v>0</v>
      </c>
      <c r="N630" s="120">
        <f t="shared" si="128"/>
        <v>0</v>
      </c>
      <c r="O630" s="404">
        <f t="shared" si="129"/>
        <v>0</v>
      </c>
      <c r="P630" s="127">
        <f t="shared" si="130"/>
        <v>0</v>
      </c>
    </row>
    <row r="631" spans="1:16" s="773" customFormat="1" ht="15.75">
      <c r="B631" s="118"/>
      <c r="C631" s="653" t="s">
        <v>1021</v>
      </c>
      <c r="D631" s="654"/>
      <c r="E631" s="654"/>
      <c r="F631" s="654"/>
      <c r="G631" s="469"/>
      <c r="H631" s="120"/>
      <c r="I631" s="417"/>
      <c r="J631" s="120"/>
      <c r="K631" s="404"/>
      <c r="L631" s="120">
        <f t="shared" si="126"/>
        <v>0</v>
      </c>
      <c r="M631" s="120">
        <f t="shared" si="127"/>
        <v>0</v>
      </c>
      <c r="N631" s="120">
        <f t="shared" si="128"/>
        <v>0</v>
      </c>
      <c r="O631" s="404">
        <f t="shared" si="129"/>
        <v>0</v>
      </c>
      <c r="P631" s="127">
        <f t="shared" si="130"/>
        <v>0</v>
      </c>
    </row>
    <row r="632" spans="1:16" s="774" customFormat="1" ht="15.75">
      <c r="B632" s="251">
        <v>14.1</v>
      </c>
      <c r="C632" s="775" t="s">
        <v>1022</v>
      </c>
      <c r="D632" s="776"/>
      <c r="E632" s="776"/>
      <c r="F632" s="776"/>
      <c r="G632" s="469" t="s">
        <v>592</v>
      </c>
      <c r="H632" s="120">
        <v>303.94</v>
      </c>
      <c r="I632" s="417">
        <v>500</v>
      </c>
      <c r="J632" s="158">
        <f>171+88</f>
        <v>259</v>
      </c>
      <c r="K632" s="406">
        <v>0</v>
      </c>
      <c r="L632" s="120">
        <f t="shared" si="126"/>
        <v>259</v>
      </c>
      <c r="M632" s="120">
        <f t="shared" si="127"/>
        <v>151970</v>
      </c>
      <c r="N632" s="120">
        <f t="shared" si="128"/>
        <v>78720.460000000006</v>
      </c>
      <c r="O632" s="404">
        <f t="shared" si="129"/>
        <v>0</v>
      </c>
      <c r="P632" s="127">
        <f t="shared" si="130"/>
        <v>78720.460000000006</v>
      </c>
    </row>
    <row r="633" spans="1:16" s="774" customFormat="1" ht="15.75">
      <c r="B633" s="251">
        <v>14.2</v>
      </c>
      <c r="C633" s="775" t="s">
        <v>1023</v>
      </c>
      <c r="D633" s="776"/>
      <c r="E633" s="776"/>
      <c r="F633" s="776"/>
      <c r="G633" s="469"/>
      <c r="H633" s="158"/>
      <c r="I633" s="419"/>
      <c r="J633" s="158"/>
      <c r="K633" s="406"/>
      <c r="L633" s="120">
        <f t="shared" si="126"/>
        <v>0</v>
      </c>
      <c r="M633" s="120">
        <f t="shared" si="127"/>
        <v>0</v>
      </c>
      <c r="N633" s="120">
        <f t="shared" si="128"/>
        <v>0</v>
      </c>
      <c r="O633" s="404">
        <f t="shared" si="129"/>
        <v>0</v>
      </c>
      <c r="P633" s="127">
        <f t="shared" si="130"/>
        <v>0</v>
      </c>
    </row>
    <row r="634" spans="1:16" s="774" customFormat="1" ht="15.75">
      <c r="B634" s="251"/>
      <c r="C634" s="775" t="s">
        <v>1024</v>
      </c>
      <c r="D634" s="776"/>
      <c r="E634" s="776"/>
      <c r="F634" s="776"/>
      <c r="G634" s="469" t="s">
        <v>592</v>
      </c>
      <c r="H634" s="158">
        <v>631.79</v>
      </c>
      <c r="I634" s="419">
        <v>250</v>
      </c>
      <c r="J634" s="158"/>
      <c r="K634" s="406"/>
      <c r="L634" s="120">
        <f t="shared" si="126"/>
        <v>0</v>
      </c>
      <c r="M634" s="120">
        <f t="shared" si="127"/>
        <v>157947.5</v>
      </c>
      <c r="N634" s="120">
        <f t="shared" si="128"/>
        <v>0</v>
      </c>
      <c r="O634" s="404">
        <f t="shared" si="129"/>
        <v>0</v>
      </c>
      <c r="P634" s="127">
        <f t="shared" si="130"/>
        <v>0</v>
      </c>
    </row>
    <row r="635" spans="1:16" s="774" customFormat="1" ht="16.5" thickBot="1">
      <c r="B635" s="251"/>
      <c r="C635" s="775"/>
      <c r="D635" s="778"/>
      <c r="E635" s="778"/>
      <c r="F635" s="776"/>
      <c r="G635" s="157"/>
      <c r="H635" s="158"/>
      <c r="I635" s="419"/>
      <c r="J635" s="158"/>
      <c r="K635" s="406"/>
      <c r="L635" s="158"/>
      <c r="M635" s="158"/>
      <c r="N635" s="158"/>
      <c r="O635" s="406"/>
      <c r="P635" s="777"/>
    </row>
    <row r="636" spans="1:16" s="413" customFormat="1" ht="19.5" thickTop="1" thickBot="1">
      <c r="A636" s="433"/>
      <c r="B636" s="748"/>
      <c r="C636" s="527" t="s">
        <v>713</v>
      </c>
      <c r="D636" s="528"/>
      <c r="E636" s="528"/>
      <c r="F636" s="528"/>
      <c r="G636" s="529"/>
      <c r="H636" s="530"/>
      <c r="I636" s="634"/>
      <c r="J636" s="531"/>
      <c r="K636" s="410"/>
      <c r="L636" s="531"/>
      <c r="M636" s="443">
        <f>SUM(M632:M635)</f>
        <v>309917.5</v>
      </c>
      <c r="N636" s="443">
        <f t="shared" ref="N636:P636" si="131">SUM(N632:N635)</f>
        <v>78720.460000000006</v>
      </c>
      <c r="O636" s="443">
        <f t="shared" si="131"/>
        <v>0</v>
      </c>
      <c r="P636" s="530">
        <f t="shared" si="131"/>
        <v>78720.460000000006</v>
      </c>
    </row>
    <row r="637" spans="1:16" ht="18.75" thickTop="1">
      <c r="A637" s="260"/>
      <c r="B637" s="254"/>
      <c r="C637" s="1482" t="s">
        <v>322</v>
      </c>
      <c r="D637" s="1483"/>
      <c r="E637" s="1483"/>
      <c r="F637" s="1484"/>
      <c r="G637" s="255"/>
      <c r="H637" s="256"/>
      <c r="I637" s="416"/>
      <c r="J637" s="246"/>
      <c r="K637" s="403"/>
      <c r="L637" s="246"/>
      <c r="M637" s="246"/>
      <c r="N637" s="120">
        <f t="shared" si="124"/>
        <v>0</v>
      </c>
      <c r="O637" s="403"/>
      <c r="P637" s="289"/>
    </row>
    <row r="638" spans="1:16" ht="15.75">
      <c r="A638" s="260"/>
      <c r="B638" s="118"/>
      <c r="C638" s="128" t="s">
        <v>714</v>
      </c>
      <c r="D638" s="133"/>
      <c r="E638" s="133"/>
      <c r="F638" s="141"/>
      <c r="G638" s="221"/>
      <c r="H638" s="136"/>
      <c r="I638" s="417"/>
      <c r="J638" s="120"/>
      <c r="K638" s="404"/>
      <c r="L638" s="120"/>
      <c r="M638" s="120"/>
      <c r="N638" s="120">
        <f t="shared" si="124"/>
        <v>0</v>
      </c>
      <c r="O638" s="404"/>
      <c r="P638" s="121"/>
    </row>
    <row r="639" spans="1:16" ht="15.75">
      <c r="A639" s="260"/>
      <c r="B639" s="118"/>
      <c r="C639" s="132"/>
      <c r="D639" s="129"/>
      <c r="E639" s="129"/>
      <c r="F639" s="130"/>
      <c r="G639" s="134"/>
      <c r="H639" s="120"/>
      <c r="I639" s="417"/>
      <c r="J639" s="120"/>
      <c r="K639" s="404"/>
      <c r="L639" s="120"/>
      <c r="M639" s="120"/>
      <c r="N639" s="120">
        <f t="shared" si="124"/>
        <v>0</v>
      </c>
      <c r="O639" s="404"/>
      <c r="P639" s="121"/>
    </row>
    <row r="640" spans="1:16" ht="15.75">
      <c r="A640" s="260"/>
      <c r="B640" s="118"/>
      <c r="C640" s="128" t="s">
        <v>323</v>
      </c>
      <c r="D640" s="133"/>
      <c r="E640" s="133"/>
      <c r="F640" s="141"/>
      <c r="G640" s="221"/>
      <c r="H640" s="136"/>
      <c r="I640" s="417"/>
      <c r="J640" s="120"/>
      <c r="K640" s="404"/>
      <c r="L640" s="120"/>
      <c r="M640" s="120"/>
      <c r="N640" s="120">
        <f t="shared" si="124"/>
        <v>0</v>
      </c>
      <c r="O640" s="404"/>
      <c r="P640" s="121"/>
    </row>
    <row r="641" spans="1:16" ht="15.75">
      <c r="A641" s="260"/>
      <c r="B641" s="118" t="s">
        <v>324</v>
      </c>
      <c r="C641" s="132" t="s">
        <v>116</v>
      </c>
      <c r="D641" s="129"/>
      <c r="E641" s="129"/>
      <c r="F641" s="130"/>
      <c r="G641" s="134"/>
      <c r="H641" s="120"/>
      <c r="I641" s="417"/>
      <c r="J641" s="120"/>
      <c r="K641" s="404"/>
      <c r="L641" s="120"/>
      <c r="M641" s="120"/>
      <c r="N641" s="120">
        <f t="shared" si="124"/>
        <v>0</v>
      </c>
      <c r="O641" s="404"/>
      <c r="P641" s="121"/>
    </row>
    <row r="642" spans="1:16" ht="18">
      <c r="A642" s="260"/>
      <c r="B642" s="118"/>
      <c r="C642" s="132" t="s">
        <v>117</v>
      </c>
      <c r="D642" s="129"/>
      <c r="E642" s="129"/>
      <c r="F642" s="130"/>
      <c r="G642" s="134" t="s">
        <v>273</v>
      </c>
      <c r="H642" s="120">
        <v>26.17</v>
      </c>
      <c r="I642" s="417">
        <v>7.23</v>
      </c>
      <c r="J642" s="120">
        <v>7.23</v>
      </c>
      <c r="K642" s="404"/>
      <c r="L642" s="120">
        <f>K642+J642</f>
        <v>7.23</v>
      </c>
      <c r="M642" s="120">
        <f>H642*I642</f>
        <v>189.20910000000003</v>
      </c>
      <c r="N642" s="120">
        <f>H642*J642</f>
        <v>189.20910000000003</v>
      </c>
      <c r="O642" s="404">
        <f>H642*K642</f>
        <v>0</v>
      </c>
      <c r="P642" s="127">
        <f t="shared" ref="P642:P647" si="132">H642*L642</f>
        <v>189.20910000000003</v>
      </c>
    </row>
    <row r="643" spans="1:16" ht="18">
      <c r="A643" s="260"/>
      <c r="B643" s="118" t="s">
        <v>325</v>
      </c>
      <c r="C643" s="132" t="s">
        <v>118</v>
      </c>
      <c r="D643" s="129"/>
      <c r="E643" s="129"/>
      <c r="F643" s="130"/>
      <c r="G643" s="134" t="s">
        <v>273</v>
      </c>
      <c r="H643" s="120">
        <v>47.66</v>
      </c>
      <c r="I643" s="417">
        <v>2.2200000000000002</v>
      </c>
      <c r="J643" s="120">
        <v>63.7</v>
      </c>
      <c r="K643" s="404"/>
      <c r="L643" s="120">
        <f>K643+J643</f>
        <v>63.7</v>
      </c>
      <c r="M643" s="120">
        <f>H643*I643</f>
        <v>105.8052</v>
      </c>
      <c r="N643" s="120">
        <f>H643*J643</f>
        <v>3035.942</v>
      </c>
      <c r="O643" s="404">
        <f>H643*K643</f>
        <v>0</v>
      </c>
      <c r="P643" s="127">
        <f t="shared" si="132"/>
        <v>3035.942</v>
      </c>
    </row>
    <row r="644" spans="1:16" ht="15.75">
      <c r="A644" s="260"/>
      <c r="B644" s="118"/>
      <c r="C644" s="132"/>
      <c r="D644" s="129"/>
      <c r="E644" s="129"/>
      <c r="F644" s="130"/>
      <c r="G644" s="134"/>
      <c r="H644" s="120"/>
      <c r="I644" s="417"/>
      <c r="J644" s="120"/>
      <c r="K644" s="404"/>
      <c r="L644" s="120"/>
      <c r="M644" s="120"/>
      <c r="N644" s="120"/>
      <c r="O644" s="404"/>
      <c r="P644" s="127">
        <f t="shared" si="132"/>
        <v>0</v>
      </c>
    </row>
    <row r="645" spans="1:16" ht="18">
      <c r="A645" s="260"/>
      <c r="B645" s="118" t="s">
        <v>326</v>
      </c>
      <c r="C645" s="132" t="s">
        <v>119</v>
      </c>
      <c r="D645" s="129"/>
      <c r="E645" s="129"/>
      <c r="F645" s="130"/>
      <c r="G645" s="134" t="s">
        <v>273</v>
      </c>
      <c r="H645" s="120">
        <v>47.66</v>
      </c>
      <c r="I645" s="417">
        <v>135.88</v>
      </c>
      <c r="J645" s="120">
        <v>181.1</v>
      </c>
      <c r="K645" s="404"/>
      <c r="L645" s="120">
        <f>K645+J645</f>
        <v>181.1</v>
      </c>
      <c r="M645" s="120">
        <f>H645*I645</f>
        <v>6476.0407999999998</v>
      </c>
      <c r="N645" s="120">
        <f>H645*J645</f>
        <v>8631.2259999999987</v>
      </c>
      <c r="O645" s="404">
        <f>H645*K645</f>
        <v>0</v>
      </c>
      <c r="P645" s="127">
        <f t="shared" si="132"/>
        <v>8631.2259999999987</v>
      </c>
    </row>
    <row r="646" spans="1:16" ht="18">
      <c r="A646" s="260"/>
      <c r="B646" s="118" t="s">
        <v>327</v>
      </c>
      <c r="C646" s="132" t="s">
        <v>100</v>
      </c>
      <c r="D646" s="129"/>
      <c r="E646" s="129"/>
      <c r="F646" s="130"/>
      <c r="G646" s="134" t="s">
        <v>273</v>
      </c>
      <c r="H646" s="120">
        <v>34.69</v>
      </c>
      <c r="I646" s="417">
        <v>109.68</v>
      </c>
      <c r="J646" s="120">
        <v>71.099999999999994</v>
      </c>
      <c r="K646" s="404"/>
      <c r="L646" s="120">
        <f>K646+J646</f>
        <v>71.099999999999994</v>
      </c>
      <c r="M646" s="120">
        <f>H646*I646</f>
        <v>3804.7991999999999</v>
      </c>
      <c r="N646" s="120">
        <f>H646*J646</f>
        <v>2466.4589999999998</v>
      </c>
      <c r="O646" s="404">
        <f>H646*K646</f>
        <v>0</v>
      </c>
      <c r="P646" s="127">
        <f t="shared" si="132"/>
        <v>2466.4589999999998</v>
      </c>
    </row>
    <row r="647" spans="1:16" ht="18">
      <c r="A647" s="260"/>
      <c r="B647" s="118" t="s">
        <v>328</v>
      </c>
      <c r="C647" s="132" t="s">
        <v>120</v>
      </c>
      <c r="D647" s="129"/>
      <c r="E647" s="129"/>
      <c r="F647" s="130"/>
      <c r="G647" s="134" t="s">
        <v>275</v>
      </c>
      <c r="H647" s="120">
        <v>40.49</v>
      </c>
      <c r="I647" s="417">
        <v>226.47</v>
      </c>
      <c r="J647" s="120">
        <v>226.37</v>
      </c>
      <c r="K647" s="404"/>
      <c r="L647" s="120">
        <f>K647+J647</f>
        <v>226.37</v>
      </c>
      <c r="M647" s="120">
        <f>H647*I647</f>
        <v>9169.7703000000001</v>
      </c>
      <c r="N647" s="120">
        <f>H647*J647</f>
        <v>9165.7213000000011</v>
      </c>
      <c r="O647" s="404">
        <f>H647*K647</f>
        <v>0</v>
      </c>
      <c r="P647" s="127">
        <f t="shared" si="132"/>
        <v>9165.7213000000011</v>
      </c>
    </row>
    <row r="648" spans="1:16" ht="15.75">
      <c r="A648" s="260"/>
      <c r="B648" s="118"/>
      <c r="C648" s="132"/>
      <c r="D648" s="129"/>
      <c r="E648" s="129"/>
      <c r="F648" s="130"/>
      <c r="G648" s="134"/>
      <c r="H648" s="120"/>
      <c r="I648" s="417"/>
      <c r="J648" s="120"/>
      <c r="K648" s="404"/>
      <c r="L648" s="120"/>
      <c r="M648" s="120"/>
      <c r="N648" s="120"/>
      <c r="O648" s="404"/>
      <c r="P648" s="121"/>
    </row>
    <row r="649" spans="1:16" ht="15.75">
      <c r="A649" s="260"/>
      <c r="B649" s="118"/>
      <c r="C649" s="128" t="s">
        <v>329</v>
      </c>
      <c r="D649" s="133"/>
      <c r="E649" s="129"/>
      <c r="F649" s="130"/>
      <c r="G649" s="134"/>
      <c r="H649" s="120"/>
      <c r="I649" s="417"/>
      <c r="J649" s="120"/>
      <c r="K649" s="404"/>
      <c r="L649" s="120"/>
      <c r="M649" s="120"/>
      <c r="N649" s="120"/>
      <c r="O649" s="404"/>
      <c r="P649" s="121"/>
    </row>
    <row r="650" spans="1:16" ht="15.75">
      <c r="A650" s="260"/>
      <c r="B650" s="118"/>
      <c r="C650" s="132"/>
      <c r="D650" s="129"/>
      <c r="E650" s="129"/>
      <c r="F650" s="130"/>
      <c r="G650" s="134"/>
      <c r="H650" s="120"/>
      <c r="I650" s="417"/>
      <c r="J650" s="120"/>
      <c r="K650" s="404"/>
      <c r="L650" s="120"/>
      <c r="M650" s="120"/>
      <c r="N650" s="120"/>
      <c r="O650" s="404"/>
      <c r="P650" s="121"/>
    </row>
    <row r="651" spans="1:16" ht="15.75">
      <c r="A651" s="260"/>
      <c r="B651" s="118" t="s">
        <v>330</v>
      </c>
      <c r="C651" s="132" t="s">
        <v>101</v>
      </c>
      <c r="D651" s="129"/>
      <c r="E651" s="133"/>
      <c r="F651" s="141"/>
      <c r="G651" s="221"/>
      <c r="H651" s="136"/>
      <c r="I651" s="417"/>
      <c r="J651" s="120"/>
      <c r="K651" s="404"/>
      <c r="L651" s="120"/>
      <c r="M651" s="120"/>
      <c r="N651" s="120"/>
      <c r="O651" s="404"/>
      <c r="P651" s="121"/>
    </row>
    <row r="652" spans="1:16" ht="15.75">
      <c r="A652" s="260"/>
      <c r="B652" s="118"/>
      <c r="C652" s="132"/>
      <c r="D652" s="129"/>
      <c r="E652" s="129"/>
      <c r="F652" s="130"/>
      <c r="G652" s="134"/>
      <c r="H652" s="120"/>
      <c r="I652" s="417"/>
      <c r="J652" s="120"/>
      <c r="K652" s="404"/>
      <c r="L652" s="120"/>
      <c r="M652" s="120"/>
      <c r="N652" s="120"/>
      <c r="O652" s="404"/>
      <c r="P652" s="121"/>
    </row>
    <row r="653" spans="1:16" ht="18">
      <c r="A653" s="260"/>
      <c r="B653" s="118"/>
      <c r="C653" s="132" t="s">
        <v>121</v>
      </c>
      <c r="D653" s="129"/>
      <c r="E653" s="129"/>
      <c r="F653" s="130"/>
      <c r="G653" s="134" t="s">
        <v>275</v>
      </c>
      <c r="H653" s="120">
        <v>35.47</v>
      </c>
      <c r="I653" s="417">
        <v>14.46</v>
      </c>
      <c r="J653" s="120">
        <v>21.25</v>
      </c>
      <c r="K653" s="404"/>
      <c r="L653" s="120">
        <f>K653+J653</f>
        <v>21.25</v>
      </c>
      <c r="M653" s="120">
        <f>H653*I653</f>
        <v>512.89620000000002</v>
      </c>
      <c r="N653" s="120">
        <f>H653*J653</f>
        <v>753.73749999999995</v>
      </c>
      <c r="O653" s="404">
        <f>H653*K653</f>
        <v>0</v>
      </c>
      <c r="P653" s="127">
        <f>H653*L653</f>
        <v>753.73749999999995</v>
      </c>
    </row>
    <row r="654" spans="1:16" ht="15.75">
      <c r="A654" s="260"/>
      <c r="B654" s="118"/>
      <c r="C654" s="132"/>
      <c r="D654" s="129"/>
      <c r="E654" s="129"/>
      <c r="F654" s="130"/>
      <c r="G654" s="134"/>
      <c r="H654" s="120"/>
      <c r="I654" s="417"/>
      <c r="J654" s="120"/>
      <c r="K654" s="404"/>
      <c r="L654" s="120"/>
      <c r="M654" s="120"/>
      <c r="N654" s="120"/>
      <c r="O654" s="404"/>
      <c r="P654" s="127"/>
    </row>
    <row r="655" spans="1:16" ht="18">
      <c r="A655" s="260"/>
      <c r="B655" s="118"/>
      <c r="C655" s="132" t="s">
        <v>122</v>
      </c>
      <c r="D655" s="129"/>
      <c r="E655" s="129"/>
      <c r="F655" s="130"/>
      <c r="G655" s="134" t="s">
        <v>275</v>
      </c>
      <c r="H655" s="120">
        <v>35.47</v>
      </c>
      <c r="I655" s="417">
        <v>260.43</v>
      </c>
      <c r="J655" s="120">
        <v>32.299999999999997</v>
      </c>
      <c r="K655" s="404"/>
      <c r="L655" s="120">
        <f>K655+J655</f>
        <v>32.299999999999997</v>
      </c>
      <c r="M655" s="120">
        <f t="shared" ref="M655:M684" si="133">H655*I655</f>
        <v>9237.4521000000004</v>
      </c>
      <c r="N655" s="120">
        <f t="shared" ref="N655:N684" si="134">H655*J655</f>
        <v>1145.6809999999998</v>
      </c>
      <c r="O655" s="404">
        <f t="shared" ref="O655:O684" si="135">H655*K655</f>
        <v>0</v>
      </c>
      <c r="P655" s="127">
        <f t="shared" ref="P655:P684" si="136">H655*L655</f>
        <v>1145.6809999999998</v>
      </c>
    </row>
    <row r="656" spans="1:16" ht="15.75">
      <c r="A656" s="260"/>
      <c r="B656" s="118"/>
      <c r="C656" s="132"/>
      <c r="D656" s="129"/>
      <c r="E656" s="129"/>
      <c r="F656" s="130"/>
      <c r="G656" s="134"/>
      <c r="H656" s="120"/>
      <c r="I656" s="417"/>
      <c r="J656" s="120"/>
      <c r="K656" s="404"/>
      <c r="L656" s="120"/>
      <c r="M656" s="120"/>
      <c r="N656" s="120"/>
      <c r="O656" s="404"/>
      <c r="P656" s="127"/>
    </row>
    <row r="657" spans="1:16" ht="15.75">
      <c r="A657" s="260"/>
      <c r="B657" s="118" t="s">
        <v>331</v>
      </c>
      <c r="C657" s="132" t="s">
        <v>123</v>
      </c>
      <c r="D657" s="129"/>
      <c r="E657" s="129"/>
      <c r="F657" s="130"/>
      <c r="G657" s="134"/>
      <c r="H657" s="120"/>
      <c r="I657" s="417"/>
      <c r="J657" s="120"/>
      <c r="K657" s="404"/>
      <c r="L657" s="120"/>
      <c r="M657" s="120"/>
      <c r="N657" s="120"/>
      <c r="O657" s="404"/>
      <c r="P657" s="127"/>
    </row>
    <row r="658" spans="1:16" ht="15.75">
      <c r="A658" s="260"/>
      <c r="B658" s="118"/>
      <c r="C658" s="132"/>
      <c r="D658" s="129"/>
      <c r="E658" s="129"/>
      <c r="F658" s="130"/>
      <c r="G658" s="134"/>
      <c r="H658" s="120"/>
      <c r="I658" s="417"/>
      <c r="J658" s="120"/>
      <c r="K658" s="404"/>
      <c r="L658" s="120"/>
      <c r="M658" s="120"/>
      <c r="N658" s="120"/>
      <c r="O658" s="404"/>
      <c r="P658" s="127"/>
    </row>
    <row r="659" spans="1:16" ht="18">
      <c r="A659" s="260"/>
      <c r="B659" s="118"/>
      <c r="C659" s="132" t="s">
        <v>124</v>
      </c>
      <c r="D659" s="129"/>
      <c r="E659" s="129"/>
      <c r="F659" s="130"/>
      <c r="G659" s="134" t="s">
        <v>273</v>
      </c>
      <c r="H659" s="120">
        <v>1086.27</v>
      </c>
      <c r="I659" s="417">
        <v>3.14</v>
      </c>
      <c r="J659" s="120">
        <v>6.06</v>
      </c>
      <c r="K659" s="404"/>
      <c r="L659" s="120">
        <f>K659+J659</f>
        <v>6.06</v>
      </c>
      <c r="M659" s="120">
        <f t="shared" si="133"/>
        <v>3410.8878</v>
      </c>
      <c r="N659" s="120">
        <f t="shared" si="134"/>
        <v>6582.7961999999998</v>
      </c>
      <c r="O659" s="404">
        <f t="shared" si="135"/>
        <v>0</v>
      </c>
      <c r="P659" s="127">
        <f t="shared" si="136"/>
        <v>6582.7961999999998</v>
      </c>
    </row>
    <row r="660" spans="1:16" ht="15.75">
      <c r="A660" s="260"/>
      <c r="B660" s="118"/>
      <c r="C660" s="132"/>
      <c r="D660" s="129"/>
      <c r="E660" s="129"/>
      <c r="F660" s="130"/>
      <c r="G660" s="134"/>
      <c r="H660" s="120"/>
      <c r="I660" s="417"/>
      <c r="J660" s="120"/>
      <c r="K660" s="404"/>
      <c r="L660" s="120"/>
      <c r="M660" s="120"/>
      <c r="N660" s="120"/>
      <c r="O660" s="404"/>
      <c r="P660" s="127"/>
    </row>
    <row r="661" spans="1:16" ht="18">
      <c r="A661" s="260"/>
      <c r="B661" s="118"/>
      <c r="C661" s="132" t="s">
        <v>125</v>
      </c>
      <c r="D661" s="129"/>
      <c r="E661" s="129"/>
      <c r="F661" s="130"/>
      <c r="G661" s="134" t="s">
        <v>273</v>
      </c>
      <c r="H661" s="120">
        <v>1086.27</v>
      </c>
      <c r="I661" s="417">
        <v>1.87</v>
      </c>
      <c r="J661" s="120">
        <v>1.27</v>
      </c>
      <c r="K661" s="404"/>
      <c r="L661" s="120">
        <f>K661+J661</f>
        <v>1.27</v>
      </c>
      <c r="M661" s="120">
        <f t="shared" si="133"/>
        <v>2031.3249000000001</v>
      </c>
      <c r="N661" s="120">
        <f t="shared" si="134"/>
        <v>1379.5628999999999</v>
      </c>
      <c r="O661" s="404">
        <f t="shared" si="135"/>
        <v>0</v>
      </c>
      <c r="P661" s="127">
        <f t="shared" si="136"/>
        <v>1379.5628999999999</v>
      </c>
    </row>
    <row r="662" spans="1:16" ht="15.75">
      <c r="A662" s="260"/>
      <c r="B662" s="118"/>
      <c r="C662" s="132"/>
      <c r="D662" s="129"/>
      <c r="E662" s="129"/>
      <c r="F662" s="130"/>
      <c r="G662" s="134"/>
      <c r="H662" s="120"/>
      <c r="I662" s="417"/>
      <c r="J662" s="120"/>
      <c r="K662" s="404"/>
      <c r="L662" s="120"/>
      <c r="M662" s="120"/>
      <c r="N662" s="120"/>
      <c r="O662" s="404"/>
      <c r="P662" s="127"/>
    </row>
    <row r="663" spans="1:16" ht="18">
      <c r="A663" s="260"/>
      <c r="B663" s="118"/>
      <c r="C663" s="132" t="s">
        <v>126</v>
      </c>
      <c r="D663" s="129"/>
      <c r="E663" s="129"/>
      <c r="F663" s="130"/>
      <c r="G663" s="134" t="s">
        <v>273</v>
      </c>
      <c r="H663" s="120">
        <v>1086.27</v>
      </c>
      <c r="I663" s="417">
        <v>16.98</v>
      </c>
      <c r="J663" s="120">
        <v>16.64</v>
      </c>
      <c r="K663" s="404"/>
      <c r="L663" s="120">
        <f>K663+J663</f>
        <v>16.64</v>
      </c>
      <c r="M663" s="120">
        <f t="shared" si="133"/>
        <v>18444.864600000001</v>
      </c>
      <c r="N663" s="120">
        <f t="shared" si="134"/>
        <v>18075.532800000001</v>
      </c>
      <c r="O663" s="404">
        <f t="shared" si="135"/>
        <v>0</v>
      </c>
      <c r="P663" s="127">
        <f t="shared" si="136"/>
        <v>18075.532800000001</v>
      </c>
    </row>
    <row r="664" spans="1:16" ht="15.75">
      <c r="A664" s="260"/>
      <c r="B664" s="118"/>
      <c r="C664" s="132"/>
      <c r="D664" s="129"/>
      <c r="E664" s="129"/>
      <c r="F664" s="130"/>
      <c r="G664" s="134"/>
      <c r="H664" s="120"/>
      <c r="I664" s="417"/>
      <c r="J664" s="120"/>
      <c r="K664" s="404"/>
      <c r="L664" s="120"/>
      <c r="M664" s="120"/>
      <c r="N664" s="120"/>
      <c r="O664" s="404"/>
      <c r="P664" s="127"/>
    </row>
    <row r="665" spans="1:16" ht="18">
      <c r="A665" s="260"/>
      <c r="B665" s="118"/>
      <c r="C665" s="132" t="s">
        <v>127</v>
      </c>
      <c r="D665" s="129"/>
      <c r="E665" s="129"/>
      <c r="F665" s="130"/>
      <c r="G665" s="134" t="s">
        <v>275</v>
      </c>
      <c r="H665" s="120">
        <v>108.63</v>
      </c>
      <c r="I665" s="417">
        <v>226.47</v>
      </c>
      <c r="J665" s="120">
        <v>226.37</v>
      </c>
      <c r="K665" s="404"/>
      <c r="L665" s="120">
        <f>J665+K665</f>
        <v>226.37</v>
      </c>
      <c r="M665" s="120">
        <f t="shared" si="133"/>
        <v>24601.436099999999</v>
      </c>
      <c r="N665" s="120">
        <f t="shared" si="134"/>
        <v>24590.573099999998</v>
      </c>
      <c r="O665" s="404">
        <f t="shared" si="135"/>
        <v>0</v>
      </c>
      <c r="P665" s="127">
        <f t="shared" si="136"/>
        <v>24590.573099999998</v>
      </c>
    </row>
    <row r="666" spans="1:16" ht="15.75">
      <c r="A666" s="260"/>
      <c r="B666" s="118"/>
      <c r="C666" s="132"/>
      <c r="D666" s="129"/>
      <c r="E666" s="129"/>
      <c r="F666" s="130"/>
      <c r="G666" s="134"/>
      <c r="H666" s="120"/>
      <c r="I666" s="417"/>
      <c r="J666" s="120"/>
      <c r="K666" s="404"/>
      <c r="L666" s="120"/>
      <c r="M666" s="120"/>
      <c r="N666" s="120"/>
      <c r="O666" s="404"/>
      <c r="P666" s="127"/>
    </row>
    <row r="667" spans="1:16" ht="15.75">
      <c r="A667" s="260"/>
      <c r="B667" s="118" t="s">
        <v>332</v>
      </c>
      <c r="C667" s="132" t="s">
        <v>102</v>
      </c>
      <c r="D667" s="129"/>
      <c r="E667" s="129"/>
      <c r="F667" s="130"/>
      <c r="G667" s="134"/>
      <c r="H667" s="120"/>
      <c r="I667" s="417"/>
      <c r="J667" s="120"/>
      <c r="K667" s="404"/>
      <c r="L667" s="120"/>
      <c r="M667" s="120"/>
      <c r="N667" s="120"/>
      <c r="O667" s="404"/>
      <c r="P667" s="127"/>
    </row>
    <row r="668" spans="1:16" ht="15.75">
      <c r="A668" s="260"/>
      <c r="B668" s="118"/>
      <c r="C668" s="132" t="s">
        <v>104</v>
      </c>
      <c r="D668" s="129"/>
      <c r="E668" s="129"/>
      <c r="F668" s="130"/>
      <c r="G668" s="134"/>
      <c r="H668" s="120"/>
      <c r="I668" s="417"/>
      <c r="J668" s="120"/>
      <c r="K668" s="404"/>
      <c r="L668" s="120"/>
      <c r="M668" s="120"/>
      <c r="N668" s="120"/>
      <c r="O668" s="404"/>
      <c r="P668" s="127"/>
    </row>
    <row r="669" spans="1:16" ht="15.75">
      <c r="A669" s="260"/>
      <c r="B669" s="118"/>
      <c r="C669" s="128"/>
      <c r="D669" s="133"/>
      <c r="E669" s="129"/>
      <c r="F669" s="130"/>
      <c r="G669" s="134"/>
      <c r="H669" s="120"/>
      <c r="I669" s="417"/>
      <c r="J669" s="120"/>
      <c r="K669" s="404"/>
      <c r="L669" s="120"/>
      <c r="M669" s="120"/>
      <c r="N669" s="120"/>
      <c r="O669" s="404"/>
      <c r="P669" s="127"/>
    </row>
    <row r="670" spans="1:16" ht="18">
      <c r="A670" s="260"/>
      <c r="B670" s="118"/>
      <c r="C670" s="132" t="s">
        <v>124</v>
      </c>
      <c r="D670" s="129"/>
      <c r="E670" s="129"/>
      <c r="F670" s="130"/>
      <c r="G670" s="134" t="s">
        <v>275</v>
      </c>
      <c r="H670" s="120">
        <v>58.19</v>
      </c>
      <c r="I670" s="417">
        <v>15</v>
      </c>
      <c r="J670" s="120">
        <v>23.34</v>
      </c>
      <c r="K670" s="404"/>
      <c r="L670" s="120">
        <f>J670+K670</f>
        <v>23.34</v>
      </c>
      <c r="M670" s="120">
        <f t="shared" si="133"/>
        <v>872.84999999999991</v>
      </c>
      <c r="N670" s="120">
        <f t="shared" si="134"/>
        <v>1358.1545999999998</v>
      </c>
      <c r="O670" s="404">
        <f t="shared" si="135"/>
        <v>0</v>
      </c>
      <c r="P670" s="127">
        <f t="shared" si="136"/>
        <v>1358.1545999999998</v>
      </c>
    </row>
    <row r="671" spans="1:16" ht="15.75">
      <c r="A671" s="260"/>
      <c r="B671" s="118"/>
      <c r="C671" s="132"/>
      <c r="D671" s="129"/>
      <c r="E671" s="129"/>
      <c r="F671" s="130"/>
      <c r="G671" s="134"/>
      <c r="H671" s="120"/>
      <c r="I671" s="417"/>
      <c r="J671" s="120"/>
      <c r="K671" s="404"/>
      <c r="L671" s="120"/>
      <c r="M671" s="120"/>
      <c r="N671" s="120"/>
      <c r="O671" s="404"/>
      <c r="P671" s="127"/>
    </row>
    <row r="672" spans="1:16" ht="18">
      <c r="A672" s="260"/>
      <c r="B672" s="118"/>
      <c r="C672" s="132" t="s">
        <v>125</v>
      </c>
      <c r="D672" s="129"/>
      <c r="E672" s="129"/>
      <c r="F672" s="130"/>
      <c r="G672" s="134" t="s">
        <v>275</v>
      </c>
      <c r="H672" s="120">
        <v>58.19</v>
      </c>
      <c r="I672" s="417">
        <v>15.04</v>
      </c>
      <c r="J672" s="120">
        <v>23.01</v>
      </c>
      <c r="K672" s="404"/>
      <c r="L672" s="120">
        <f>J672+K672</f>
        <v>23.01</v>
      </c>
      <c r="M672" s="120">
        <f t="shared" si="133"/>
        <v>875.17759999999987</v>
      </c>
      <c r="N672" s="120">
        <f t="shared" si="134"/>
        <v>1338.9519</v>
      </c>
      <c r="O672" s="404">
        <f t="shared" si="135"/>
        <v>0</v>
      </c>
      <c r="P672" s="127">
        <f t="shared" si="136"/>
        <v>1338.9519</v>
      </c>
    </row>
    <row r="673" spans="1:16" ht="15.75">
      <c r="A673" s="260"/>
      <c r="B673" s="118"/>
      <c r="C673" s="132"/>
      <c r="D673" s="129"/>
      <c r="E673" s="129"/>
      <c r="F673" s="130"/>
      <c r="G673" s="134"/>
      <c r="H673" s="120"/>
      <c r="I673" s="417"/>
      <c r="J673" s="120"/>
      <c r="K673" s="404"/>
      <c r="L673" s="120"/>
      <c r="M673" s="120"/>
      <c r="N673" s="120"/>
      <c r="O673" s="404"/>
      <c r="P673" s="127"/>
    </row>
    <row r="674" spans="1:16" ht="18">
      <c r="A674" s="260"/>
      <c r="B674" s="118"/>
      <c r="C674" s="132" t="s">
        <v>126</v>
      </c>
      <c r="D674" s="129"/>
      <c r="E674" s="129"/>
      <c r="F674" s="130"/>
      <c r="G674" s="134" t="s">
        <v>275</v>
      </c>
      <c r="H674" s="120">
        <v>58.19</v>
      </c>
      <c r="I674" s="417">
        <v>169.8</v>
      </c>
      <c r="J674" s="120">
        <v>169.55</v>
      </c>
      <c r="K674" s="404"/>
      <c r="L674" s="120">
        <f>J674+K674</f>
        <v>169.55</v>
      </c>
      <c r="M674" s="120">
        <f t="shared" si="133"/>
        <v>9880.6620000000003</v>
      </c>
      <c r="N674" s="120">
        <f t="shared" si="134"/>
        <v>9866.1144999999997</v>
      </c>
      <c r="O674" s="404">
        <f t="shared" si="135"/>
        <v>0</v>
      </c>
      <c r="P674" s="127">
        <f t="shared" si="136"/>
        <v>9866.1144999999997</v>
      </c>
    </row>
    <row r="675" spans="1:16" ht="15.75">
      <c r="A675" s="260"/>
      <c r="B675" s="118"/>
      <c r="C675" s="132"/>
      <c r="D675" s="129"/>
      <c r="E675" s="129"/>
      <c r="F675" s="130"/>
      <c r="G675" s="134"/>
      <c r="H675" s="120"/>
      <c r="I675" s="417"/>
      <c r="J675" s="120"/>
      <c r="K675" s="404"/>
      <c r="L675" s="120"/>
      <c r="M675" s="120"/>
      <c r="N675" s="120"/>
      <c r="O675" s="404"/>
      <c r="P675" s="127"/>
    </row>
    <row r="676" spans="1:16" ht="15.75">
      <c r="A676" s="260"/>
      <c r="B676" s="118" t="s">
        <v>333</v>
      </c>
      <c r="C676" s="132" t="s">
        <v>269</v>
      </c>
      <c r="D676" s="129"/>
      <c r="E676" s="129"/>
      <c r="F676" s="130"/>
      <c r="G676" s="134"/>
      <c r="H676" s="120"/>
      <c r="I676" s="417"/>
      <c r="J676" s="120"/>
      <c r="K676" s="404"/>
      <c r="L676" s="120"/>
      <c r="M676" s="120"/>
      <c r="N676" s="120"/>
      <c r="O676" s="404"/>
      <c r="P676" s="127"/>
    </row>
    <row r="677" spans="1:16" ht="15.75">
      <c r="A677" s="260"/>
      <c r="B677" s="118"/>
      <c r="C677" s="132"/>
      <c r="D677" s="129"/>
      <c r="E677" s="129"/>
      <c r="F677" s="130"/>
      <c r="G677" s="134"/>
      <c r="H677" s="120"/>
      <c r="I677" s="417"/>
      <c r="J677" s="120"/>
      <c r="K677" s="404"/>
      <c r="L677" s="120"/>
      <c r="M677" s="120"/>
      <c r="N677" s="120"/>
      <c r="O677" s="404"/>
      <c r="P677" s="127"/>
    </row>
    <row r="678" spans="1:16" ht="15.75">
      <c r="A678" s="260"/>
      <c r="B678" s="118"/>
      <c r="C678" s="132" t="s">
        <v>110</v>
      </c>
      <c r="D678" s="129"/>
      <c r="E678" s="129"/>
      <c r="F678" s="130"/>
      <c r="G678" s="134" t="s">
        <v>103</v>
      </c>
      <c r="H678" s="120">
        <v>2.61</v>
      </c>
      <c r="I678" s="417">
        <v>1064.22</v>
      </c>
      <c r="J678" s="120">
        <v>961.54</v>
      </c>
      <c r="K678" s="404"/>
      <c r="L678" s="120">
        <f t="shared" ref="L678:L684" si="137">J678+K678</f>
        <v>961.54</v>
      </c>
      <c r="M678" s="120">
        <f t="shared" si="133"/>
        <v>2777.6142</v>
      </c>
      <c r="N678" s="120">
        <f t="shared" si="134"/>
        <v>2509.6193999999996</v>
      </c>
      <c r="O678" s="404">
        <f t="shared" si="135"/>
        <v>0</v>
      </c>
      <c r="P678" s="127">
        <f t="shared" si="136"/>
        <v>2509.6193999999996</v>
      </c>
    </row>
    <row r="679" spans="1:16" ht="15.75">
      <c r="A679" s="260"/>
      <c r="B679" s="118"/>
      <c r="C679" s="132"/>
      <c r="D679" s="129"/>
      <c r="E679" s="129"/>
      <c r="F679" s="130"/>
      <c r="G679" s="134"/>
      <c r="H679" s="120"/>
      <c r="I679" s="417"/>
      <c r="J679" s="120"/>
      <c r="K679" s="404"/>
      <c r="L679" s="120">
        <f t="shared" si="137"/>
        <v>0</v>
      </c>
      <c r="M679" s="120">
        <f t="shared" si="133"/>
        <v>0</v>
      </c>
      <c r="N679" s="120">
        <f t="shared" si="134"/>
        <v>0</v>
      </c>
      <c r="O679" s="404">
        <f t="shared" si="135"/>
        <v>0</v>
      </c>
      <c r="P679" s="127">
        <f t="shared" si="136"/>
        <v>0</v>
      </c>
    </row>
    <row r="680" spans="1:16" ht="15.75">
      <c r="A680" s="260"/>
      <c r="B680" s="118"/>
      <c r="C680" s="132" t="s">
        <v>128</v>
      </c>
      <c r="D680" s="129"/>
      <c r="E680" s="129"/>
      <c r="F680" s="130"/>
      <c r="G680" s="134" t="s">
        <v>103</v>
      </c>
      <c r="H680" s="120">
        <v>2.61</v>
      </c>
      <c r="I680" s="417">
        <v>107.06</v>
      </c>
      <c r="J680" s="120">
        <v>1197.67</v>
      </c>
      <c r="K680" s="404"/>
      <c r="L680" s="120">
        <f t="shared" si="137"/>
        <v>1197.67</v>
      </c>
      <c r="M680" s="120">
        <f t="shared" si="133"/>
        <v>279.42660000000001</v>
      </c>
      <c r="N680" s="120">
        <f t="shared" si="134"/>
        <v>3125.9187000000002</v>
      </c>
      <c r="O680" s="404">
        <f t="shared" si="135"/>
        <v>0</v>
      </c>
      <c r="P680" s="127">
        <f t="shared" si="136"/>
        <v>3125.9187000000002</v>
      </c>
    </row>
    <row r="681" spans="1:16" ht="15.75">
      <c r="A681" s="260"/>
      <c r="B681" s="118"/>
      <c r="C681" s="132"/>
      <c r="D681" s="129"/>
      <c r="E681" s="129"/>
      <c r="F681" s="130"/>
      <c r="G681" s="134"/>
      <c r="H681" s="120"/>
      <c r="I681" s="417"/>
      <c r="J681" s="120"/>
      <c r="K681" s="404"/>
      <c r="L681" s="120">
        <f t="shared" si="137"/>
        <v>0</v>
      </c>
      <c r="M681" s="120">
        <f t="shared" si="133"/>
        <v>0</v>
      </c>
      <c r="N681" s="120">
        <f t="shared" si="134"/>
        <v>0</v>
      </c>
      <c r="O681" s="404">
        <f t="shared" si="135"/>
        <v>0</v>
      </c>
      <c r="P681" s="127">
        <f t="shared" si="136"/>
        <v>0</v>
      </c>
    </row>
    <row r="682" spans="1:16" ht="15.75">
      <c r="A682" s="260"/>
      <c r="B682" s="118"/>
      <c r="C682" s="132" t="s">
        <v>112</v>
      </c>
      <c r="D682" s="129"/>
      <c r="E682" s="129"/>
      <c r="F682" s="130"/>
      <c r="G682" s="134" t="s">
        <v>103</v>
      </c>
      <c r="H682" s="120">
        <v>2.02</v>
      </c>
      <c r="I682" s="417">
        <v>1108.1400000000001</v>
      </c>
      <c r="J682" s="120">
        <v>290.69</v>
      </c>
      <c r="K682" s="404"/>
      <c r="L682" s="120">
        <f t="shared" si="137"/>
        <v>290.69</v>
      </c>
      <c r="M682" s="120">
        <f t="shared" si="133"/>
        <v>2238.4428000000003</v>
      </c>
      <c r="N682" s="120">
        <f t="shared" si="134"/>
        <v>587.19380000000001</v>
      </c>
      <c r="O682" s="404">
        <f t="shared" si="135"/>
        <v>0</v>
      </c>
      <c r="P682" s="127">
        <f t="shared" si="136"/>
        <v>587.19380000000001</v>
      </c>
    </row>
    <row r="683" spans="1:16" ht="15.75">
      <c r="A683" s="260"/>
      <c r="B683" s="118"/>
      <c r="C683" s="132"/>
      <c r="D683" s="129"/>
      <c r="E683" s="129"/>
      <c r="F683" s="130"/>
      <c r="G683" s="134"/>
      <c r="H683" s="120"/>
      <c r="I683" s="417"/>
      <c r="J683" s="120"/>
      <c r="K683" s="404"/>
      <c r="L683" s="120">
        <f t="shared" si="137"/>
        <v>0</v>
      </c>
      <c r="M683" s="120">
        <f t="shared" si="133"/>
        <v>0</v>
      </c>
      <c r="N683" s="120">
        <f t="shared" si="134"/>
        <v>0</v>
      </c>
      <c r="O683" s="404">
        <f t="shared" si="135"/>
        <v>0</v>
      </c>
      <c r="P683" s="127">
        <f t="shared" si="136"/>
        <v>0</v>
      </c>
    </row>
    <row r="684" spans="1:16" ht="15.75">
      <c r="A684" s="260"/>
      <c r="B684" s="118"/>
      <c r="C684" s="132" t="s">
        <v>129</v>
      </c>
      <c r="D684" s="129"/>
      <c r="E684" s="129"/>
      <c r="F684" s="130"/>
      <c r="G684" s="134" t="s">
        <v>103</v>
      </c>
      <c r="H684" s="120">
        <v>2.61</v>
      </c>
      <c r="I684" s="417">
        <v>19.64</v>
      </c>
      <c r="J684" s="120">
        <v>0</v>
      </c>
      <c r="K684" s="404"/>
      <c r="L684" s="120">
        <f t="shared" si="137"/>
        <v>0</v>
      </c>
      <c r="M684" s="120">
        <f t="shared" si="133"/>
        <v>51.260399999999997</v>
      </c>
      <c r="N684" s="120">
        <f t="shared" si="134"/>
        <v>0</v>
      </c>
      <c r="O684" s="404">
        <f t="shared" si="135"/>
        <v>0</v>
      </c>
      <c r="P684" s="127">
        <f t="shared" si="136"/>
        <v>0</v>
      </c>
    </row>
    <row r="685" spans="1:16" ht="15.75">
      <c r="A685" s="260"/>
      <c r="B685" s="118"/>
      <c r="C685" s="128"/>
      <c r="D685" s="133"/>
      <c r="E685" s="133"/>
      <c r="F685" s="141"/>
      <c r="G685" s="221"/>
      <c r="H685" s="136"/>
      <c r="I685" s="417"/>
      <c r="J685" s="120"/>
      <c r="K685" s="404"/>
      <c r="L685" s="120"/>
      <c r="M685" s="136"/>
      <c r="N685" s="136"/>
      <c r="O685" s="408"/>
      <c r="P685" s="137"/>
    </row>
    <row r="686" spans="1:16" ht="15.75">
      <c r="A686" s="260"/>
      <c r="B686" s="118"/>
      <c r="C686" s="128" t="s">
        <v>130</v>
      </c>
      <c r="D686" s="133"/>
      <c r="E686" s="133"/>
      <c r="F686" s="130"/>
      <c r="G686" s="134"/>
      <c r="H686" s="120"/>
      <c r="I686" s="417"/>
      <c r="J686" s="120"/>
      <c r="K686" s="404"/>
      <c r="L686" s="120"/>
      <c r="M686" s="120"/>
      <c r="N686" s="120"/>
      <c r="O686" s="404"/>
      <c r="P686" s="127"/>
    </row>
    <row r="687" spans="1:16" ht="15.75">
      <c r="A687" s="260"/>
      <c r="B687" s="118"/>
      <c r="C687" s="132"/>
      <c r="D687" s="129"/>
      <c r="E687" s="129"/>
      <c r="F687" s="130"/>
      <c r="G687" s="134"/>
      <c r="H687" s="120"/>
      <c r="I687" s="417"/>
      <c r="J687" s="120"/>
      <c r="K687" s="404"/>
      <c r="L687" s="120"/>
      <c r="M687" s="120"/>
      <c r="N687" s="120"/>
      <c r="O687" s="404"/>
      <c r="P687" s="127"/>
    </row>
    <row r="688" spans="1:16" ht="15.75">
      <c r="A688" s="260"/>
      <c r="B688" s="118"/>
      <c r="C688" s="128" t="s">
        <v>72</v>
      </c>
      <c r="D688" s="133"/>
      <c r="E688" s="133"/>
      <c r="F688" s="130"/>
      <c r="G688" s="134"/>
      <c r="H688" s="120"/>
      <c r="I688" s="417"/>
      <c r="J688" s="120"/>
      <c r="K688" s="404"/>
      <c r="L688" s="120"/>
      <c r="M688" s="120"/>
      <c r="N688" s="120"/>
      <c r="O688" s="404"/>
      <c r="P688" s="127"/>
    </row>
    <row r="689" spans="1:16" ht="15.75">
      <c r="A689" s="260"/>
      <c r="B689" s="118"/>
      <c r="C689" s="132"/>
      <c r="D689" s="129"/>
      <c r="E689" s="129"/>
      <c r="F689" s="130"/>
      <c r="G689" s="134"/>
      <c r="H689" s="120"/>
      <c r="I689" s="417"/>
      <c r="J689" s="120"/>
      <c r="K689" s="404"/>
      <c r="L689" s="120"/>
      <c r="M689" s="120"/>
      <c r="N689" s="120"/>
      <c r="O689" s="404"/>
      <c r="P689" s="127"/>
    </row>
    <row r="690" spans="1:16" ht="15.75">
      <c r="A690" s="260"/>
      <c r="B690" s="118" t="s">
        <v>334</v>
      </c>
      <c r="C690" s="132" t="s">
        <v>123</v>
      </c>
      <c r="D690" s="129"/>
      <c r="E690" s="129"/>
      <c r="F690" s="130"/>
      <c r="G690" s="134"/>
      <c r="H690" s="120"/>
      <c r="I690" s="417"/>
      <c r="J690" s="120"/>
      <c r="K690" s="404"/>
      <c r="L690" s="120"/>
      <c r="M690" s="120"/>
      <c r="N690" s="120"/>
      <c r="O690" s="404"/>
      <c r="P690" s="127"/>
    </row>
    <row r="691" spans="1:16" ht="15.75">
      <c r="A691" s="260"/>
      <c r="B691" s="118"/>
      <c r="C691" s="132"/>
      <c r="D691" s="129"/>
      <c r="E691" s="129"/>
      <c r="F691" s="130"/>
      <c r="G691" s="134"/>
      <c r="H691" s="120"/>
      <c r="I691" s="417"/>
      <c r="J691" s="120"/>
      <c r="K691" s="404"/>
      <c r="L691" s="120"/>
      <c r="M691" s="120"/>
      <c r="N691" s="120"/>
      <c r="O691" s="404"/>
      <c r="P691" s="127"/>
    </row>
    <row r="692" spans="1:16" ht="18">
      <c r="A692" s="260"/>
      <c r="B692" s="118"/>
      <c r="C692" s="132" t="s">
        <v>131</v>
      </c>
      <c r="D692" s="129"/>
      <c r="E692" s="129"/>
      <c r="F692" s="130"/>
      <c r="G692" s="134" t="s">
        <v>273</v>
      </c>
      <c r="H692" s="120">
        <v>1098.8</v>
      </c>
      <c r="I692" s="417">
        <v>3.98</v>
      </c>
      <c r="J692" s="120">
        <v>3.621</v>
      </c>
      <c r="K692" s="404"/>
      <c r="L692" s="120">
        <f>J692+K692</f>
        <v>3.621</v>
      </c>
      <c r="M692" s="120">
        <f>H692*I692</f>
        <v>4373.2240000000002</v>
      </c>
      <c r="N692" s="120">
        <f>H692*J692</f>
        <v>3978.7547999999997</v>
      </c>
      <c r="O692" s="404">
        <f>H692*K692</f>
        <v>0</v>
      </c>
      <c r="P692" s="127">
        <f>H692*L692</f>
        <v>3978.7547999999997</v>
      </c>
    </row>
    <row r="693" spans="1:16" ht="15.75">
      <c r="A693" s="260"/>
      <c r="B693" s="118"/>
      <c r="C693" s="132"/>
      <c r="D693" s="129"/>
      <c r="E693" s="129"/>
      <c r="F693" s="130"/>
      <c r="G693" s="134"/>
      <c r="H693" s="120"/>
      <c r="I693" s="417"/>
      <c r="J693" s="120"/>
      <c r="K693" s="404"/>
      <c r="L693" s="120"/>
      <c r="M693" s="120"/>
      <c r="N693" s="120"/>
      <c r="O693" s="404"/>
      <c r="P693" s="127"/>
    </row>
    <row r="694" spans="1:16" ht="18">
      <c r="A694" s="260"/>
      <c r="B694" s="118"/>
      <c r="C694" s="132" t="s">
        <v>132</v>
      </c>
      <c r="D694" s="129"/>
      <c r="E694" s="129"/>
      <c r="F694" s="130"/>
      <c r="G694" s="134" t="s">
        <v>273</v>
      </c>
      <c r="H694" s="120">
        <v>1098.8</v>
      </c>
      <c r="I694" s="417">
        <v>8.7799999999999994</v>
      </c>
      <c r="J694" s="120">
        <v>8.99</v>
      </c>
      <c r="K694" s="404"/>
      <c r="L694" s="120">
        <f>J694+K694</f>
        <v>8.99</v>
      </c>
      <c r="M694" s="120">
        <f>H694*I694</f>
        <v>9647.4639999999981</v>
      </c>
      <c r="N694" s="120">
        <f>H694*J694</f>
        <v>9878.2119999999995</v>
      </c>
      <c r="O694" s="404">
        <f>H694*K694</f>
        <v>0</v>
      </c>
      <c r="P694" s="127">
        <f>H694*L694</f>
        <v>9878.2119999999995</v>
      </c>
    </row>
    <row r="695" spans="1:16" ht="15.75">
      <c r="A695" s="260"/>
      <c r="B695" s="118"/>
      <c r="C695" s="132"/>
      <c r="D695" s="129"/>
      <c r="E695" s="129"/>
      <c r="F695" s="130"/>
      <c r="G695" s="134"/>
      <c r="H695" s="120"/>
      <c r="I695" s="417"/>
      <c r="J695" s="120"/>
      <c r="K695" s="404"/>
      <c r="L695" s="120"/>
      <c r="M695" s="120"/>
      <c r="N695" s="120"/>
      <c r="O695" s="404"/>
      <c r="P695" s="127"/>
    </row>
    <row r="696" spans="1:16" ht="18">
      <c r="A696" s="260"/>
      <c r="B696" s="118"/>
      <c r="C696" s="132" t="s">
        <v>133</v>
      </c>
      <c r="D696" s="129"/>
      <c r="E696" s="129"/>
      <c r="F696" s="130"/>
      <c r="G696" s="134" t="s">
        <v>273</v>
      </c>
      <c r="H696" s="120">
        <v>1098.8</v>
      </c>
      <c r="I696" s="417">
        <v>3.56</v>
      </c>
      <c r="J696" s="120">
        <v>3.69</v>
      </c>
      <c r="K696" s="404"/>
      <c r="L696" s="120">
        <f>J696+K696</f>
        <v>3.69</v>
      </c>
      <c r="M696" s="120">
        <f>H696*I696</f>
        <v>3911.7280000000001</v>
      </c>
      <c r="N696" s="120">
        <f>H696*J696</f>
        <v>4054.5719999999997</v>
      </c>
      <c r="O696" s="404">
        <f>H696*K696</f>
        <v>0</v>
      </c>
      <c r="P696" s="127">
        <f>H696*L696</f>
        <v>4054.5719999999997</v>
      </c>
    </row>
    <row r="697" spans="1:16" ht="15.75">
      <c r="A697" s="260"/>
      <c r="B697" s="118"/>
      <c r="C697" s="132"/>
      <c r="D697" s="129"/>
      <c r="E697" s="129"/>
      <c r="F697" s="130"/>
      <c r="G697" s="134"/>
      <c r="H697" s="120"/>
      <c r="I697" s="417"/>
      <c r="J697" s="120"/>
      <c r="K697" s="404"/>
      <c r="L697" s="120"/>
      <c r="M697" s="120"/>
      <c r="N697" s="120"/>
      <c r="O697" s="404"/>
      <c r="P697" s="127"/>
    </row>
    <row r="698" spans="1:16" ht="15.75">
      <c r="A698" s="260"/>
      <c r="B698" s="118" t="s">
        <v>335</v>
      </c>
      <c r="C698" s="132" t="s">
        <v>102</v>
      </c>
      <c r="D698" s="129"/>
      <c r="E698" s="129"/>
      <c r="F698" s="130"/>
      <c r="G698" s="134"/>
      <c r="H698" s="120"/>
      <c r="I698" s="417"/>
      <c r="J698" s="120"/>
      <c r="K698" s="404"/>
      <c r="L698" s="120"/>
      <c r="M698" s="120"/>
      <c r="N698" s="120"/>
      <c r="O698" s="404"/>
      <c r="P698" s="127"/>
    </row>
    <row r="699" spans="1:16" ht="15.75">
      <c r="A699" s="260"/>
      <c r="B699" s="118"/>
      <c r="C699" s="132" t="s">
        <v>104</v>
      </c>
      <c r="D699" s="129"/>
      <c r="E699" s="129"/>
      <c r="F699" s="130"/>
      <c r="G699" s="134"/>
      <c r="H699" s="120"/>
      <c r="I699" s="417"/>
      <c r="J699" s="120"/>
      <c r="K699" s="404"/>
      <c r="L699" s="120"/>
      <c r="M699" s="120"/>
      <c r="N699" s="120"/>
      <c r="O699" s="404"/>
      <c r="P699" s="127"/>
    </row>
    <row r="700" spans="1:16" ht="15.75">
      <c r="A700" s="260"/>
      <c r="B700" s="118"/>
      <c r="C700" s="132"/>
      <c r="D700" s="129"/>
      <c r="E700" s="129"/>
      <c r="F700" s="130"/>
      <c r="G700" s="134"/>
      <c r="H700" s="120"/>
      <c r="I700" s="417"/>
      <c r="J700" s="120"/>
      <c r="K700" s="404"/>
      <c r="L700" s="120"/>
      <c r="M700" s="120"/>
      <c r="N700" s="120"/>
      <c r="O700" s="404"/>
      <c r="P700" s="127"/>
    </row>
    <row r="701" spans="1:16" ht="18">
      <c r="A701" s="260"/>
      <c r="B701" s="118"/>
      <c r="C701" s="132" t="s">
        <v>131</v>
      </c>
      <c r="D701" s="129"/>
      <c r="E701" s="129"/>
      <c r="F701" s="130"/>
      <c r="G701" s="134" t="s">
        <v>275</v>
      </c>
      <c r="H701" s="120">
        <v>66.680000000000007</v>
      </c>
      <c r="I701" s="417">
        <v>70.69</v>
      </c>
      <c r="J701" s="120">
        <v>64.709999999999994</v>
      </c>
      <c r="K701" s="404"/>
      <c r="L701" s="120">
        <f>J701+K701</f>
        <v>64.709999999999994</v>
      </c>
      <c r="M701" s="120">
        <f>H701*I701</f>
        <v>4713.6092000000008</v>
      </c>
      <c r="N701" s="120">
        <f>H701*J701</f>
        <v>4314.8627999999999</v>
      </c>
      <c r="O701" s="404">
        <f>H701*K701</f>
        <v>0</v>
      </c>
      <c r="P701" s="127">
        <f>H701*L701</f>
        <v>4314.8627999999999</v>
      </c>
    </row>
    <row r="702" spans="1:16" ht="15.75">
      <c r="A702" s="260"/>
      <c r="B702" s="118"/>
      <c r="C702" s="132"/>
      <c r="D702" s="129"/>
      <c r="E702" s="129"/>
      <c r="F702" s="130"/>
      <c r="G702" s="134"/>
      <c r="H702" s="120"/>
      <c r="I702" s="417"/>
      <c r="J702" s="120"/>
      <c r="K702" s="404"/>
      <c r="L702" s="120"/>
      <c r="M702" s="120"/>
      <c r="N702" s="120"/>
      <c r="O702" s="404"/>
      <c r="P702" s="127"/>
    </row>
    <row r="703" spans="1:16" ht="18">
      <c r="A703" s="260"/>
      <c r="B703" s="118"/>
      <c r="C703" s="132" t="s">
        <v>132</v>
      </c>
      <c r="D703" s="129"/>
      <c r="E703" s="129"/>
      <c r="F703" s="130"/>
      <c r="G703" s="134" t="s">
        <v>275</v>
      </c>
      <c r="H703" s="120">
        <v>66.680000000000007</v>
      </c>
      <c r="I703" s="417">
        <v>117.06</v>
      </c>
      <c r="J703" s="120">
        <v>108.64</v>
      </c>
      <c r="K703" s="404"/>
      <c r="L703" s="120">
        <f>J703+K703</f>
        <v>108.64</v>
      </c>
      <c r="M703" s="120">
        <f>H703*I703</f>
        <v>7805.5608000000011</v>
      </c>
      <c r="N703" s="120">
        <f>H703*J703</f>
        <v>7244.1152000000011</v>
      </c>
      <c r="O703" s="404">
        <f>H703*K703</f>
        <v>0</v>
      </c>
      <c r="P703" s="127">
        <f>H703*L703</f>
        <v>7244.1152000000011</v>
      </c>
    </row>
    <row r="704" spans="1:16" ht="15.75">
      <c r="A704" s="260"/>
      <c r="B704" s="118"/>
      <c r="C704" s="132"/>
      <c r="D704" s="129"/>
      <c r="E704" s="129"/>
      <c r="F704" s="130"/>
      <c r="G704" s="134"/>
      <c r="H704" s="120"/>
      <c r="I704" s="417"/>
      <c r="J704" s="120"/>
      <c r="K704" s="404"/>
      <c r="L704" s="120"/>
      <c r="M704" s="120"/>
      <c r="N704" s="120"/>
      <c r="O704" s="404"/>
      <c r="P704" s="127"/>
    </row>
    <row r="705" spans="1:16" ht="18">
      <c r="A705" s="260"/>
      <c r="B705" s="118"/>
      <c r="C705" s="132" t="s">
        <v>133</v>
      </c>
      <c r="D705" s="129"/>
      <c r="E705" s="129"/>
      <c r="F705" s="130"/>
      <c r="G705" s="134" t="s">
        <v>275</v>
      </c>
      <c r="H705" s="120">
        <v>66.680000000000007</v>
      </c>
      <c r="I705" s="417">
        <v>47.42</v>
      </c>
      <c r="J705" s="120">
        <v>48.97</v>
      </c>
      <c r="K705" s="404"/>
      <c r="L705" s="120">
        <f>J705+K705</f>
        <v>48.97</v>
      </c>
      <c r="M705" s="120">
        <f>H705*I705</f>
        <v>3161.9656000000004</v>
      </c>
      <c r="N705" s="120">
        <f>H705*J705</f>
        <v>3265.3196000000003</v>
      </c>
      <c r="O705" s="404">
        <f>H705*K705</f>
        <v>0</v>
      </c>
      <c r="P705" s="127">
        <f>H705*L705</f>
        <v>3265.3196000000003</v>
      </c>
    </row>
    <row r="706" spans="1:16" ht="15.75">
      <c r="A706" s="260"/>
      <c r="B706" s="118"/>
      <c r="C706" s="132"/>
      <c r="D706" s="129"/>
      <c r="E706" s="129"/>
      <c r="F706" s="130"/>
      <c r="G706" s="134"/>
      <c r="H706" s="120"/>
      <c r="I706" s="417"/>
      <c r="J706" s="120"/>
      <c r="K706" s="404"/>
      <c r="L706" s="120"/>
      <c r="M706" s="120"/>
      <c r="N706" s="120"/>
      <c r="O706" s="404"/>
      <c r="P706" s="127"/>
    </row>
    <row r="707" spans="1:16" ht="15.75">
      <c r="A707" s="260"/>
      <c r="B707" s="118" t="s">
        <v>336</v>
      </c>
      <c r="C707" s="132" t="s">
        <v>269</v>
      </c>
      <c r="D707" s="129"/>
      <c r="E707" s="129"/>
      <c r="F707" s="130"/>
      <c r="G707" s="134"/>
      <c r="H707" s="120"/>
      <c r="I707" s="417"/>
      <c r="J707" s="120"/>
      <c r="K707" s="404"/>
      <c r="L707" s="120"/>
      <c r="M707" s="120"/>
      <c r="N707" s="120"/>
      <c r="O707" s="404"/>
      <c r="P707" s="127"/>
    </row>
    <row r="708" spans="1:16" ht="15.75">
      <c r="A708" s="260"/>
      <c r="B708" s="118"/>
      <c r="C708" s="132"/>
      <c r="D708" s="129"/>
      <c r="E708" s="129"/>
      <c r="F708" s="130"/>
      <c r="G708" s="134"/>
      <c r="H708" s="120"/>
      <c r="I708" s="417"/>
      <c r="J708" s="120"/>
      <c r="K708" s="404"/>
      <c r="L708" s="120"/>
      <c r="M708" s="120"/>
      <c r="N708" s="120"/>
      <c r="O708" s="404"/>
      <c r="P708" s="127"/>
    </row>
    <row r="709" spans="1:16" ht="15.75">
      <c r="A709" s="260"/>
      <c r="B709" s="118"/>
      <c r="C709" s="132" t="s">
        <v>110</v>
      </c>
      <c r="D709" s="129"/>
      <c r="E709" s="129"/>
      <c r="F709" s="130"/>
      <c r="G709" s="134" t="s">
        <v>103</v>
      </c>
      <c r="H709" s="120">
        <v>2.2599999999999998</v>
      </c>
      <c r="I709" s="417">
        <v>621.1</v>
      </c>
      <c r="J709" s="120">
        <v>621.62</v>
      </c>
      <c r="K709" s="404"/>
      <c r="L709" s="120">
        <f>J709+K709</f>
        <v>621.62</v>
      </c>
      <c r="M709" s="120">
        <f>H709*I709</f>
        <v>1403.6859999999999</v>
      </c>
      <c r="N709" s="120">
        <f>H709*J709</f>
        <v>1404.8611999999998</v>
      </c>
      <c r="O709" s="404">
        <f>H709*K709</f>
        <v>0</v>
      </c>
      <c r="P709" s="127">
        <f>H709*L709</f>
        <v>1404.8611999999998</v>
      </c>
    </row>
    <row r="710" spans="1:16" ht="15.75">
      <c r="A710" s="260"/>
      <c r="B710" s="118"/>
      <c r="C710" s="132"/>
      <c r="D710" s="129"/>
      <c r="E710" s="129"/>
      <c r="F710" s="130"/>
      <c r="G710" s="134"/>
      <c r="H710" s="120"/>
      <c r="I710" s="417"/>
      <c r="J710" s="120"/>
      <c r="K710" s="404"/>
      <c r="L710" s="120"/>
      <c r="M710" s="120"/>
      <c r="N710" s="120"/>
      <c r="O710" s="404"/>
      <c r="P710" s="127"/>
    </row>
    <row r="711" spans="1:16" ht="15.75">
      <c r="A711" s="260"/>
      <c r="B711" s="118"/>
      <c r="C711" s="132" t="s">
        <v>109</v>
      </c>
      <c r="D711" s="129"/>
      <c r="E711" s="129"/>
      <c r="F711" s="130"/>
      <c r="G711" s="134" t="s">
        <v>103</v>
      </c>
      <c r="H711" s="120">
        <v>2.02</v>
      </c>
      <c r="I711" s="417">
        <v>114.47</v>
      </c>
      <c r="J711" s="120">
        <v>114.73</v>
      </c>
      <c r="K711" s="404"/>
      <c r="L711" s="120">
        <f>J711+K711</f>
        <v>114.73</v>
      </c>
      <c r="M711" s="120">
        <f>H711*I711</f>
        <v>231.2294</v>
      </c>
      <c r="N711" s="120">
        <f>H711*J711</f>
        <v>231.75460000000001</v>
      </c>
      <c r="O711" s="404">
        <f>H711*K711</f>
        <v>0</v>
      </c>
      <c r="P711" s="127">
        <f>H711*L711</f>
        <v>231.75460000000001</v>
      </c>
    </row>
    <row r="712" spans="1:16" ht="15.75">
      <c r="A712" s="260"/>
      <c r="B712" s="118"/>
      <c r="C712" s="132"/>
      <c r="D712" s="129"/>
      <c r="E712" s="129"/>
      <c r="F712" s="130"/>
      <c r="G712" s="134"/>
      <c r="H712" s="120"/>
      <c r="I712" s="417"/>
      <c r="J712" s="120"/>
      <c r="K712" s="404"/>
      <c r="L712" s="120"/>
      <c r="M712" s="120"/>
      <c r="N712" s="120"/>
      <c r="O712" s="404"/>
      <c r="P712" s="127"/>
    </row>
    <row r="713" spans="1:16" ht="15.75">
      <c r="A713" s="260"/>
      <c r="B713" s="118"/>
      <c r="C713" s="132" t="s">
        <v>112</v>
      </c>
      <c r="D713" s="129"/>
      <c r="E713" s="129"/>
      <c r="F713" s="130"/>
      <c r="G713" s="134" t="s">
        <v>103</v>
      </c>
      <c r="H713" s="120">
        <v>2.02</v>
      </c>
      <c r="I713" s="417">
        <v>1250.52</v>
      </c>
      <c r="J713" s="120">
        <v>2592.61</v>
      </c>
      <c r="K713" s="404"/>
      <c r="L713" s="120">
        <f>J713+K713</f>
        <v>2592.61</v>
      </c>
      <c r="M713" s="120">
        <f>H713*I713</f>
        <v>2526.0504000000001</v>
      </c>
      <c r="N713" s="120">
        <f>H713*J713</f>
        <v>5237.0722000000005</v>
      </c>
      <c r="O713" s="404">
        <f>H713*K713</f>
        <v>0</v>
      </c>
      <c r="P713" s="127">
        <f>H713*L713</f>
        <v>5237.0722000000005</v>
      </c>
    </row>
    <row r="714" spans="1:16" ht="15.75">
      <c r="A714" s="260"/>
      <c r="B714" s="118"/>
      <c r="C714" s="132"/>
      <c r="D714" s="129"/>
      <c r="E714" s="129"/>
      <c r="F714" s="130"/>
      <c r="G714" s="134"/>
      <c r="H714" s="120"/>
      <c r="I714" s="417"/>
      <c r="J714" s="120"/>
      <c r="K714" s="404"/>
      <c r="L714" s="120"/>
      <c r="M714" s="120"/>
      <c r="N714" s="120"/>
      <c r="O714" s="404"/>
      <c r="P714" s="127"/>
    </row>
    <row r="715" spans="1:16" ht="15.75">
      <c r="A715" s="260"/>
      <c r="B715" s="118"/>
      <c r="C715" s="132" t="s">
        <v>129</v>
      </c>
      <c r="D715" s="129"/>
      <c r="E715" s="129"/>
      <c r="F715" s="130"/>
      <c r="G715" s="134" t="s">
        <v>103</v>
      </c>
      <c r="H715" s="120">
        <v>2.02</v>
      </c>
      <c r="I715" s="417">
        <v>0</v>
      </c>
      <c r="J715" s="120">
        <v>0</v>
      </c>
      <c r="K715" s="404"/>
      <c r="L715" s="120">
        <f>J715+K715</f>
        <v>0</v>
      </c>
      <c r="M715" s="120">
        <f>H715*I715</f>
        <v>0</v>
      </c>
      <c r="N715" s="120">
        <f>H715*J715</f>
        <v>0</v>
      </c>
      <c r="O715" s="404">
        <f>H715*K715</f>
        <v>0</v>
      </c>
      <c r="P715" s="127">
        <f>H715*L715</f>
        <v>0</v>
      </c>
    </row>
    <row r="716" spans="1:16" ht="15.75">
      <c r="A716" s="260"/>
      <c r="B716" s="118"/>
      <c r="C716" s="132"/>
      <c r="D716" s="129"/>
      <c r="E716" s="129"/>
      <c r="F716" s="130"/>
      <c r="G716" s="134"/>
      <c r="H716" s="120"/>
      <c r="I716" s="417"/>
      <c r="J716" s="120"/>
      <c r="K716" s="404"/>
      <c r="L716" s="120"/>
      <c r="M716" s="120"/>
      <c r="N716" s="120"/>
      <c r="O716" s="404"/>
      <c r="P716" s="127"/>
    </row>
    <row r="717" spans="1:16" ht="15.75">
      <c r="A717" s="260"/>
      <c r="B717" s="118"/>
      <c r="C717" s="128" t="s">
        <v>338</v>
      </c>
      <c r="D717" s="133"/>
      <c r="E717" s="129"/>
      <c r="F717" s="130"/>
      <c r="G717" s="134"/>
      <c r="H717" s="120"/>
      <c r="I717" s="417"/>
      <c r="J717" s="120"/>
      <c r="K717" s="404"/>
      <c r="L717" s="120"/>
      <c r="M717" s="120"/>
      <c r="N717" s="120"/>
      <c r="O717" s="404"/>
      <c r="P717" s="127"/>
    </row>
    <row r="718" spans="1:16" ht="15.75">
      <c r="A718" s="260"/>
      <c r="B718" s="118"/>
      <c r="C718" s="132"/>
      <c r="D718" s="129"/>
      <c r="E718" s="129"/>
      <c r="F718" s="130"/>
      <c r="G718" s="134"/>
      <c r="H718" s="120"/>
      <c r="I718" s="417"/>
      <c r="J718" s="120"/>
      <c r="K718" s="404"/>
      <c r="L718" s="120"/>
      <c r="M718" s="120"/>
      <c r="N718" s="120"/>
      <c r="O718" s="404"/>
      <c r="P718" s="127"/>
    </row>
    <row r="719" spans="1:16" ht="18">
      <c r="A719" s="260"/>
      <c r="B719" s="118" t="s">
        <v>339</v>
      </c>
      <c r="C719" s="132" t="s">
        <v>340</v>
      </c>
      <c r="D719" s="129"/>
      <c r="E719" s="129"/>
      <c r="F719" s="130"/>
      <c r="G719" s="134" t="s">
        <v>275</v>
      </c>
      <c r="H719" s="120">
        <v>151.19999999999999</v>
      </c>
      <c r="I719" s="417">
        <v>327.41000000000003</v>
      </c>
      <c r="J719" s="120">
        <f>374.08+6.43</f>
        <v>380.51</v>
      </c>
      <c r="K719" s="404">
        <v>0</v>
      </c>
      <c r="L719" s="120">
        <f>J719+K719</f>
        <v>380.51</v>
      </c>
      <c r="M719" s="120">
        <f>H719*I719</f>
        <v>49504.392</v>
      </c>
      <c r="N719" s="120">
        <f>H719*J719</f>
        <v>57533.111999999994</v>
      </c>
      <c r="O719" s="404">
        <f>H719*K719</f>
        <v>0</v>
      </c>
      <c r="P719" s="127">
        <f>H719*L719</f>
        <v>57533.111999999994</v>
      </c>
    </row>
    <row r="720" spans="1:16" ht="15.75">
      <c r="A720" s="260"/>
      <c r="B720" s="118"/>
      <c r="C720" s="132"/>
      <c r="D720" s="129"/>
      <c r="E720" s="129"/>
      <c r="F720" s="130"/>
      <c r="G720" s="134"/>
      <c r="H720" s="120"/>
      <c r="I720" s="417"/>
      <c r="J720" s="120"/>
      <c r="K720" s="404"/>
      <c r="L720" s="120"/>
      <c r="M720" s="120"/>
      <c r="N720" s="120"/>
      <c r="O720" s="404"/>
      <c r="P720" s="127"/>
    </row>
    <row r="721" spans="1:16" ht="18">
      <c r="A721" s="260"/>
      <c r="B721" s="118" t="s">
        <v>341</v>
      </c>
      <c r="C721" s="132" t="s">
        <v>342</v>
      </c>
      <c r="D721" s="129"/>
      <c r="E721" s="129"/>
      <c r="F721" s="130"/>
      <c r="G721" s="134" t="s">
        <v>275</v>
      </c>
      <c r="H721" s="120">
        <v>123.59</v>
      </c>
      <c r="I721" s="417">
        <v>11.04</v>
      </c>
      <c r="J721" s="120">
        <f>27.42</f>
        <v>27.42</v>
      </c>
      <c r="K721" s="404">
        <v>0</v>
      </c>
      <c r="L721" s="120">
        <f>J721+K721</f>
        <v>27.42</v>
      </c>
      <c r="M721" s="120">
        <f>H721*I721</f>
        <v>1364.4335999999998</v>
      </c>
      <c r="N721" s="120">
        <f>H721*J721</f>
        <v>3388.8378000000002</v>
      </c>
      <c r="O721" s="404">
        <f>H721*K721</f>
        <v>0</v>
      </c>
      <c r="P721" s="127">
        <f>H721*L721</f>
        <v>3388.8378000000002</v>
      </c>
    </row>
    <row r="722" spans="1:16" ht="15.75">
      <c r="A722" s="260"/>
      <c r="B722" s="118"/>
      <c r="C722" s="132"/>
      <c r="D722" s="129"/>
      <c r="E722" s="129"/>
      <c r="F722" s="130"/>
      <c r="G722" s="134"/>
      <c r="H722" s="120"/>
      <c r="I722" s="417"/>
      <c r="J722" s="120"/>
      <c r="K722" s="404"/>
      <c r="L722" s="120"/>
      <c r="M722" s="120"/>
      <c r="N722" s="120"/>
      <c r="O722" s="404"/>
      <c r="P722" s="127"/>
    </row>
    <row r="723" spans="1:16" ht="15.75">
      <c r="A723" s="260"/>
      <c r="B723" s="118"/>
      <c r="C723" s="128" t="s">
        <v>343</v>
      </c>
      <c r="D723" s="133"/>
      <c r="E723" s="129"/>
      <c r="F723" s="130"/>
      <c r="G723" s="134"/>
      <c r="H723" s="120"/>
      <c r="I723" s="417"/>
      <c r="J723" s="120"/>
      <c r="K723" s="404"/>
      <c r="L723" s="120"/>
      <c r="M723" s="120"/>
      <c r="N723" s="120"/>
      <c r="O723" s="404"/>
      <c r="P723" s="127"/>
    </row>
    <row r="724" spans="1:16" ht="15.75">
      <c r="A724" s="260"/>
      <c r="B724" s="118"/>
      <c r="C724" s="132"/>
      <c r="D724" s="129"/>
      <c r="E724" s="129"/>
      <c r="F724" s="130"/>
      <c r="G724" s="134"/>
      <c r="H724" s="120"/>
      <c r="I724" s="417"/>
      <c r="J724" s="120"/>
      <c r="K724" s="404"/>
      <c r="L724" s="120"/>
      <c r="M724" s="120"/>
      <c r="N724" s="120"/>
      <c r="O724" s="404"/>
      <c r="P724" s="127"/>
    </row>
    <row r="725" spans="1:16" ht="18">
      <c r="A725" s="260"/>
      <c r="B725" s="118" t="s">
        <v>344</v>
      </c>
      <c r="C725" s="132" t="s">
        <v>345</v>
      </c>
      <c r="D725" s="129"/>
      <c r="E725" s="129"/>
      <c r="F725" s="130"/>
      <c r="G725" s="134" t="s">
        <v>275</v>
      </c>
      <c r="H725" s="120">
        <v>120</v>
      </c>
      <c r="I725" s="417">
        <v>295.41000000000003</v>
      </c>
      <c r="J725" s="120">
        <v>263.99</v>
      </c>
      <c r="K725" s="404"/>
      <c r="L725" s="120">
        <f>J725+K725</f>
        <v>263.99</v>
      </c>
      <c r="M725" s="120">
        <f>H725*I725</f>
        <v>35449.200000000004</v>
      </c>
      <c r="N725" s="120">
        <f>H725*J725</f>
        <v>31678.800000000003</v>
      </c>
      <c r="O725" s="404">
        <f>H725*K725</f>
        <v>0</v>
      </c>
      <c r="P725" s="127">
        <f>H725*L725</f>
        <v>31678.800000000003</v>
      </c>
    </row>
    <row r="726" spans="1:16" ht="15.75">
      <c r="A726" s="260"/>
      <c r="B726" s="118"/>
      <c r="C726" s="132"/>
      <c r="D726" s="129"/>
      <c r="E726" s="129"/>
      <c r="F726" s="130"/>
      <c r="G726" s="134"/>
      <c r="H726" s="120"/>
      <c r="I726" s="417"/>
      <c r="J726" s="120"/>
      <c r="K726" s="404"/>
      <c r="L726" s="120"/>
      <c r="M726" s="120"/>
      <c r="N726" s="120"/>
      <c r="O726" s="404"/>
      <c r="P726" s="127"/>
    </row>
    <row r="727" spans="1:16" ht="15.75">
      <c r="A727" s="260"/>
      <c r="B727" s="118" t="s">
        <v>346</v>
      </c>
      <c r="C727" s="132" t="s">
        <v>347</v>
      </c>
      <c r="D727" s="129"/>
      <c r="E727" s="129"/>
      <c r="F727" s="130"/>
      <c r="G727" s="134"/>
      <c r="H727" s="120"/>
      <c r="I727" s="417"/>
      <c r="J727" s="120"/>
      <c r="K727" s="404"/>
      <c r="L727" s="120"/>
      <c r="M727" s="120"/>
      <c r="N727" s="120"/>
      <c r="O727" s="404"/>
      <c r="P727" s="127"/>
    </row>
    <row r="728" spans="1:16" ht="15.75">
      <c r="A728" s="260"/>
      <c r="B728" s="118"/>
      <c r="C728" s="132" t="s">
        <v>348</v>
      </c>
      <c r="D728" s="129"/>
      <c r="E728" s="129"/>
      <c r="F728" s="130"/>
      <c r="G728" s="134" t="s">
        <v>254</v>
      </c>
      <c r="H728" s="120">
        <v>109.51</v>
      </c>
      <c r="I728" s="417">
        <v>39.700000000000003</v>
      </c>
      <c r="J728" s="120">
        <v>0</v>
      </c>
      <c r="K728" s="404"/>
      <c r="L728" s="120">
        <f>J728+K728</f>
        <v>0</v>
      </c>
      <c r="M728" s="120">
        <f>H728*I728</f>
        <v>4347.5470000000005</v>
      </c>
      <c r="N728" s="120">
        <f>H728*J728</f>
        <v>0</v>
      </c>
      <c r="O728" s="404">
        <f>H728*K728</f>
        <v>0</v>
      </c>
      <c r="P728" s="127">
        <f>H728*L728</f>
        <v>0</v>
      </c>
    </row>
    <row r="729" spans="1:16" ht="15.75">
      <c r="A729" s="260"/>
      <c r="B729" s="118"/>
      <c r="C729" s="132"/>
      <c r="D729" s="129"/>
      <c r="E729" s="129"/>
      <c r="F729" s="130"/>
      <c r="G729" s="134"/>
      <c r="H729" s="120"/>
      <c r="I729" s="417"/>
      <c r="J729" s="120"/>
      <c r="K729" s="404"/>
      <c r="L729" s="120"/>
      <c r="M729" s="120"/>
      <c r="N729" s="120"/>
      <c r="O729" s="404"/>
      <c r="P729" s="127"/>
    </row>
    <row r="730" spans="1:16" ht="15.75">
      <c r="A730" s="260"/>
      <c r="B730" s="118" t="s">
        <v>349</v>
      </c>
      <c r="C730" s="132" t="s">
        <v>347</v>
      </c>
      <c r="D730" s="129"/>
      <c r="E730" s="129"/>
      <c r="F730" s="130"/>
      <c r="G730" s="134"/>
      <c r="H730" s="120"/>
      <c r="I730" s="417"/>
      <c r="J730" s="120"/>
      <c r="K730" s="404"/>
      <c r="L730" s="120"/>
      <c r="M730" s="120"/>
      <c r="N730" s="120"/>
      <c r="O730" s="404"/>
      <c r="P730" s="127"/>
    </row>
    <row r="731" spans="1:16" ht="15.75">
      <c r="A731" s="260"/>
      <c r="B731" s="118"/>
      <c r="C731" s="132" t="s">
        <v>351</v>
      </c>
      <c r="D731" s="129"/>
      <c r="E731" s="129"/>
      <c r="F731" s="130"/>
      <c r="G731" s="134" t="s">
        <v>254</v>
      </c>
      <c r="H731" s="120">
        <v>40.42</v>
      </c>
      <c r="I731" s="417">
        <v>39.700000000000003</v>
      </c>
      <c r="J731" s="120">
        <v>0</v>
      </c>
      <c r="K731" s="404"/>
      <c r="L731" s="120">
        <f>J731+K731</f>
        <v>0</v>
      </c>
      <c r="M731" s="120">
        <f>H731*I731</f>
        <v>1604.6740000000002</v>
      </c>
      <c r="N731" s="120">
        <f>H731*J731</f>
        <v>0</v>
      </c>
      <c r="O731" s="404">
        <f>H731*K731</f>
        <v>0</v>
      </c>
      <c r="P731" s="127">
        <f>H731*L731</f>
        <v>0</v>
      </c>
    </row>
    <row r="732" spans="1:16" ht="15.75">
      <c r="A732" s="260"/>
      <c r="B732" s="118"/>
      <c r="C732" s="132"/>
      <c r="D732" s="129"/>
      <c r="E732" s="129"/>
      <c r="F732" s="130"/>
      <c r="G732" s="134"/>
      <c r="H732" s="120"/>
      <c r="I732" s="417"/>
      <c r="J732" s="120"/>
      <c r="K732" s="404"/>
      <c r="L732" s="120"/>
      <c r="M732" s="120"/>
      <c r="N732" s="120"/>
      <c r="O732" s="404"/>
      <c r="P732" s="127"/>
    </row>
    <row r="733" spans="1:16" ht="15.75">
      <c r="A733" s="260"/>
      <c r="B733" s="118" t="s">
        <v>350</v>
      </c>
      <c r="C733" s="132" t="s">
        <v>352</v>
      </c>
      <c r="D733" s="129"/>
      <c r="E733" s="129"/>
      <c r="F733" s="130"/>
      <c r="G733" s="134" t="s">
        <v>254</v>
      </c>
      <c r="H733" s="120">
        <v>109.51</v>
      </c>
      <c r="I733" s="417">
        <v>31.57</v>
      </c>
      <c r="J733" s="120">
        <v>0</v>
      </c>
      <c r="K733" s="404"/>
      <c r="L733" s="120">
        <f>J733+K733</f>
        <v>0</v>
      </c>
      <c r="M733" s="120">
        <f>H733*I733</f>
        <v>3457.2307000000001</v>
      </c>
      <c r="N733" s="120">
        <f>H733*J733</f>
        <v>0</v>
      </c>
      <c r="O733" s="404">
        <f>H733*K733</f>
        <v>0</v>
      </c>
      <c r="P733" s="127">
        <f>H733*L733</f>
        <v>0</v>
      </c>
    </row>
    <row r="734" spans="1:16" ht="15.75">
      <c r="A734" s="260"/>
      <c r="B734" s="118"/>
      <c r="C734" s="132"/>
      <c r="D734" s="129"/>
      <c r="E734" s="129"/>
      <c r="F734" s="130"/>
      <c r="G734" s="134"/>
      <c r="H734" s="120"/>
      <c r="I734" s="417"/>
      <c r="J734" s="120"/>
      <c r="K734" s="404"/>
      <c r="L734" s="120"/>
      <c r="M734" s="120"/>
      <c r="N734" s="120"/>
      <c r="O734" s="404"/>
      <c r="P734" s="127"/>
    </row>
    <row r="735" spans="1:16" ht="15.75">
      <c r="A735" s="260"/>
      <c r="B735" s="118" t="s">
        <v>353</v>
      </c>
      <c r="C735" s="132" t="s">
        <v>354</v>
      </c>
      <c r="D735" s="129"/>
      <c r="E735" s="129"/>
      <c r="F735" s="130"/>
      <c r="G735" s="134"/>
      <c r="H735" s="120"/>
      <c r="I735" s="417"/>
      <c r="J735" s="120"/>
      <c r="K735" s="404"/>
      <c r="L735" s="120"/>
      <c r="M735" s="120"/>
      <c r="N735" s="120"/>
      <c r="O735" s="404"/>
      <c r="P735" s="127"/>
    </row>
    <row r="736" spans="1:16" ht="15.75">
      <c r="A736" s="260"/>
      <c r="B736" s="118"/>
      <c r="C736" s="132" t="s">
        <v>355</v>
      </c>
      <c r="D736" s="129"/>
      <c r="E736" s="129"/>
      <c r="F736" s="130"/>
      <c r="G736" s="134" t="s">
        <v>254</v>
      </c>
      <c r="H736" s="120">
        <v>61.93</v>
      </c>
      <c r="I736" s="417">
        <v>50.71</v>
      </c>
      <c r="J736" s="120">
        <v>0</v>
      </c>
      <c r="K736" s="404"/>
      <c r="L736" s="120">
        <f>J736+K736</f>
        <v>0</v>
      </c>
      <c r="M736" s="120">
        <f>H736*I736</f>
        <v>3140.4703</v>
      </c>
      <c r="N736" s="120">
        <f>H736*J736</f>
        <v>0</v>
      </c>
      <c r="O736" s="404">
        <f>H736*K736</f>
        <v>0</v>
      </c>
      <c r="P736" s="127">
        <f>H736*L736</f>
        <v>0</v>
      </c>
    </row>
    <row r="737" spans="1:16" ht="15.75">
      <c r="A737" s="260"/>
      <c r="B737" s="118"/>
      <c r="C737" s="132"/>
      <c r="D737" s="129"/>
      <c r="E737" s="129"/>
      <c r="F737" s="130"/>
      <c r="G737" s="134"/>
      <c r="H737" s="120"/>
      <c r="I737" s="417"/>
      <c r="J737" s="120"/>
      <c r="K737" s="404"/>
      <c r="L737" s="120"/>
      <c r="M737" s="120"/>
      <c r="N737" s="120"/>
      <c r="O737" s="404"/>
      <c r="P737" s="127"/>
    </row>
    <row r="738" spans="1:16" ht="15.75">
      <c r="A738" s="260"/>
      <c r="B738" s="118" t="s">
        <v>356</v>
      </c>
      <c r="C738" s="132" t="s">
        <v>357</v>
      </c>
      <c r="D738" s="129"/>
      <c r="E738" s="129"/>
      <c r="F738" s="130"/>
      <c r="G738" s="134"/>
      <c r="H738" s="120"/>
      <c r="I738" s="417"/>
      <c r="J738" s="120"/>
      <c r="K738" s="404"/>
      <c r="L738" s="120"/>
      <c r="M738" s="120"/>
      <c r="N738" s="120"/>
      <c r="O738" s="404"/>
      <c r="P738" s="127"/>
    </row>
    <row r="739" spans="1:16" ht="15.75">
      <c r="A739" s="260"/>
      <c r="B739" s="118"/>
      <c r="C739" s="132" t="s">
        <v>358</v>
      </c>
      <c r="D739" s="129"/>
      <c r="E739" s="129"/>
      <c r="F739" s="130"/>
      <c r="G739" s="134" t="s">
        <v>254</v>
      </c>
      <c r="H739" s="120">
        <v>34.549999999999997</v>
      </c>
      <c r="I739" s="417">
        <v>50.71</v>
      </c>
      <c r="J739" s="120">
        <v>0</v>
      </c>
      <c r="K739" s="404"/>
      <c r="L739" s="120">
        <f>J739+K739</f>
        <v>0</v>
      </c>
      <c r="M739" s="120">
        <f>H739*I739</f>
        <v>1752.0304999999998</v>
      </c>
      <c r="N739" s="120">
        <f>H739*J739</f>
        <v>0</v>
      </c>
      <c r="O739" s="404">
        <f>H739*K739</f>
        <v>0</v>
      </c>
      <c r="P739" s="127">
        <f>H739*L739</f>
        <v>0</v>
      </c>
    </row>
    <row r="740" spans="1:16" ht="15.75">
      <c r="A740" s="260"/>
      <c r="B740" s="118"/>
      <c r="C740" s="132"/>
      <c r="D740" s="129"/>
      <c r="E740" s="129"/>
      <c r="F740" s="130"/>
      <c r="G740" s="134"/>
      <c r="H740" s="120"/>
      <c r="I740" s="417"/>
      <c r="J740" s="120"/>
      <c r="K740" s="404"/>
      <c r="L740" s="120">
        <f t="shared" ref="L740:L753" si="138">J740+K740</f>
        <v>0</v>
      </c>
      <c r="M740" s="120">
        <f t="shared" ref="M740:M753" si="139">H740*I740</f>
        <v>0</v>
      </c>
      <c r="N740" s="120">
        <f t="shared" ref="N740:N753" si="140">H740*J740</f>
        <v>0</v>
      </c>
      <c r="O740" s="404">
        <f t="shared" ref="O740:O753" si="141">H740*K740</f>
        <v>0</v>
      </c>
      <c r="P740" s="127">
        <f t="shared" ref="P740:P753" si="142">H740*L740</f>
        <v>0</v>
      </c>
    </row>
    <row r="741" spans="1:16" ht="15.75">
      <c r="A741" s="260"/>
      <c r="B741" s="118"/>
      <c r="C741" s="128" t="s">
        <v>1025</v>
      </c>
      <c r="D741" s="133"/>
      <c r="E741" s="133"/>
      <c r="F741" s="141"/>
      <c r="G741" s="134"/>
      <c r="H741" s="120"/>
      <c r="I741" s="417"/>
      <c r="J741" s="120"/>
      <c r="K741" s="404"/>
      <c r="L741" s="120">
        <f t="shared" si="138"/>
        <v>0</v>
      </c>
      <c r="M741" s="120">
        <f t="shared" si="139"/>
        <v>0</v>
      </c>
      <c r="N741" s="120">
        <f t="shared" si="140"/>
        <v>0</v>
      </c>
      <c r="O741" s="404">
        <f t="shared" si="141"/>
        <v>0</v>
      </c>
      <c r="P741" s="127">
        <f t="shared" si="142"/>
        <v>0</v>
      </c>
    </row>
    <row r="742" spans="1:16" ht="15.75">
      <c r="A742" s="260"/>
      <c r="B742" s="118"/>
      <c r="C742" s="128"/>
      <c r="D742" s="133"/>
      <c r="E742" s="133"/>
      <c r="F742" s="141"/>
      <c r="G742" s="399"/>
      <c r="H742" s="120"/>
      <c r="I742" s="417"/>
      <c r="J742" s="120"/>
      <c r="K742" s="404"/>
      <c r="L742" s="120">
        <f t="shared" si="138"/>
        <v>0</v>
      </c>
      <c r="M742" s="120">
        <f t="shared" si="139"/>
        <v>0</v>
      </c>
      <c r="N742" s="120">
        <f t="shared" si="140"/>
        <v>0</v>
      </c>
      <c r="O742" s="404">
        <f t="shared" si="141"/>
        <v>0</v>
      </c>
      <c r="P742" s="127">
        <f t="shared" si="142"/>
        <v>0</v>
      </c>
    </row>
    <row r="743" spans="1:16" ht="15.75">
      <c r="A743" s="260"/>
      <c r="B743" s="118" t="s">
        <v>1026</v>
      </c>
      <c r="C743" s="132" t="s">
        <v>1027</v>
      </c>
      <c r="D743" s="133"/>
      <c r="E743" s="133"/>
      <c r="F743" s="141"/>
      <c r="G743" s="399"/>
      <c r="H743" s="120"/>
      <c r="I743" s="417"/>
      <c r="J743" s="120"/>
      <c r="K743" s="404"/>
      <c r="L743" s="120">
        <f t="shared" si="138"/>
        <v>0</v>
      </c>
      <c r="M743" s="120">
        <f t="shared" si="139"/>
        <v>0</v>
      </c>
      <c r="N743" s="120">
        <f t="shared" si="140"/>
        <v>0</v>
      </c>
      <c r="O743" s="404">
        <f t="shared" si="141"/>
        <v>0</v>
      </c>
      <c r="P743" s="127">
        <f t="shared" si="142"/>
        <v>0</v>
      </c>
    </row>
    <row r="744" spans="1:16" ht="18">
      <c r="A744" s="260"/>
      <c r="B744" s="118"/>
      <c r="C744" s="132" t="s">
        <v>1028</v>
      </c>
      <c r="D744" s="133"/>
      <c r="E744" s="133"/>
      <c r="F744" s="141"/>
      <c r="G744" s="399" t="s">
        <v>275</v>
      </c>
      <c r="H744" s="120">
        <v>114.42</v>
      </c>
      <c r="I744" s="417">
        <v>137.29</v>
      </c>
      <c r="J744" s="120">
        <f>129.72+185.71</f>
        <v>315.43</v>
      </c>
      <c r="K744" s="404">
        <v>0</v>
      </c>
      <c r="L744" s="120">
        <f t="shared" si="138"/>
        <v>315.43</v>
      </c>
      <c r="M744" s="120">
        <f t="shared" si="139"/>
        <v>15708.721799999999</v>
      </c>
      <c r="N744" s="120">
        <f t="shared" si="140"/>
        <v>36091.500599999999</v>
      </c>
      <c r="O744" s="404">
        <f t="shared" si="141"/>
        <v>0</v>
      </c>
      <c r="P744" s="127">
        <f t="shared" si="142"/>
        <v>36091.500599999999</v>
      </c>
    </row>
    <row r="745" spans="1:16" ht="15.75">
      <c r="A745" s="260"/>
      <c r="B745" s="118"/>
      <c r="C745" s="132"/>
      <c r="D745" s="133"/>
      <c r="E745" s="133"/>
      <c r="F745" s="141"/>
      <c r="G745" s="399"/>
      <c r="H745" s="120"/>
      <c r="I745" s="417"/>
      <c r="J745" s="120"/>
      <c r="K745" s="404"/>
      <c r="L745" s="120"/>
      <c r="M745" s="120"/>
      <c r="N745" s="120"/>
      <c r="O745" s="404"/>
      <c r="P745" s="127"/>
    </row>
    <row r="746" spans="1:16" ht="29.25" customHeight="1">
      <c r="A746" s="260"/>
      <c r="B746" s="118" t="s">
        <v>1166</v>
      </c>
      <c r="C746" s="1479" t="s">
        <v>1167</v>
      </c>
      <c r="D746" s="1480"/>
      <c r="E746" s="1480"/>
      <c r="F746" s="1481"/>
      <c r="G746" s="399"/>
      <c r="H746" s="120"/>
      <c r="I746" s="417"/>
      <c r="J746" s="120"/>
      <c r="K746" s="404"/>
      <c r="L746" s="120"/>
      <c r="M746" s="120"/>
      <c r="N746" s="120"/>
      <c r="O746" s="404"/>
      <c r="P746" s="127"/>
    </row>
    <row r="747" spans="1:16" ht="15.75">
      <c r="A747" s="260"/>
      <c r="B747" s="118"/>
      <c r="C747" s="132"/>
      <c r="D747" s="133"/>
      <c r="E747" s="133"/>
      <c r="F747" s="141"/>
      <c r="G747" s="399"/>
      <c r="H747" s="120"/>
      <c r="I747" s="417"/>
      <c r="J747" s="120"/>
      <c r="K747" s="404"/>
      <c r="L747" s="120"/>
      <c r="M747" s="120"/>
      <c r="N747" s="120"/>
      <c r="O747" s="404"/>
      <c r="P747" s="127"/>
    </row>
    <row r="748" spans="1:16" ht="18">
      <c r="A748" s="260"/>
      <c r="B748" s="118"/>
      <c r="C748" s="1476" t="s">
        <v>1168</v>
      </c>
      <c r="D748" s="1477"/>
      <c r="E748" s="1477"/>
      <c r="F748" s="1478"/>
      <c r="G748" s="399" t="s">
        <v>275</v>
      </c>
      <c r="H748" s="120">
        <v>2696.65</v>
      </c>
      <c r="I748" s="417">
        <v>2</v>
      </c>
      <c r="J748" s="120">
        <v>2</v>
      </c>
      <c r="K748" s="404">
        <v>0</v>
      </c>
      <c r="L748" s="120">
        <f t="shared" si="138"/>
        <v>2</v>
      </c>
      <c r="M748" s="120">
        <f t="shared" si="139"/>
        <v>5393.3</v>
      </c>
      <c r="N748" s="120">
        <f t="shared" si="140"/>
        <v>5393.3</v>
      </c>
      <c r="O748" s="404">
        <f t="shared" si="141"/>
        <v>0</v>
      </c>
      <c r="P748" s="127">
        <f t="shared" si="142"/>
        <v>5393.3</v>
      </c>
    </row>
    <row r="749" spans="1:16" ht="15.75">
      <c r="A749" s="260"/>
      <c r="B749" s="118"/>
      <c r="C749" s="128"/>
      <c r="D749" s="133"/>
      <c r="E749" s="133"/>
      <c r="F749" s="141"/>
      <c r="G749" s="399"/>
      <c r="H749" s="120"/>
      <c r="I749" s="417"/>
      <c r="J749" s="120"/>
      <c r="K749" s="404"/>
      <c r="L749" s="120"/>
      <c r="M749" s="120"/>
      <c r="N749" s="120"/>
      <c r="O749" s="404"/>
      <c r="P749" s="127"/>
    </row>
    <row r="750" spans="1:16" ht="18">
      <c r="A750" s="260"/>
      <c r="B750" s="118"/>
      <c r="C750" s="1476" t="s">
        <v>1169</v>
      </c>
      <c r="D750" s="1477"/>
      <c r="E750" s="1477"/>
      <c r="F750" s="1478"/>
      <c r="G750" s="399" t="s">
        <v>275</v>
      </c>
      <c r="H750" s="120">
        <v>2179.11</v>
      </c>
      <c r="I750" s="417">
        <v>7</v>
      </c>
      <c r="J750" s="120">
        <v>7</v>
      </c>
      <c r="K750" s="404">
        <v>0</v>
      </c>
      <c r="L750" s="120">
        <f t="shared" si="138"/>
        <v>7</v>
      </c>
      <c r="M750" s="120">
        <f t="shared" si="139"/>
        <v>15253.77</v>
      </c>
      <c r="N750" s="120">
        <f t="shared" si="140"/>
        <v>15253.77</v>
      </c>
      <c r="O750" s="404">
        <f t="shared" si="141"/>
        <v>0</v>
      </c>
      <c r="P750" s="127">
        <f t="shared" si="142"/>
        <v>15253.77</v>
      </c>
    </row>
    <row r="751" spans="1:16" ht="15.75">
      <c r="A751" s="260"/>
      <c r="B751" s="118" t="s">
        <v>337</v>
      </c>
      <c r="C751" s="132" t="s">
        <v>263</v>
      </c>
      <c r="D751" s="129"/>
      <c r="E751" s="129"/>
      <c r="F751" s="130"/>
      <c r="G751" s="134"/>
      <c r="H751" s="120"/>
      <c r="I751" s="417"/>
      <c r="J751" s="120"/>
      <c r="K751" s="404"/>
      <c r="L751" s="120">
        <f t="shared" si="138"/>
        <v>0</v>
      </c>
      <c r="M751" s="120">
        <f t="shared" si="139"/>
        <v>0</v>
      </c>
      <c r="N751" s="120">
        <f t="shared" si="140"/>
        <v>0</v>
      </c>
      <c r="O751" s="404">
        <f t="shared" si="141"/>
        <v>0</v>
      </c>
      <c r="P751" s="127">
        <f t="shared" si="142"/>
        <v>0</v>
      </c>
    </row>
    <row r="752" spans="1:16" ht="15.75">
      <c r="A752" s="260"/>
      <c r="B752" s="118"/>
      <c r="C752" s="132" t="s">
        <v>264</v>
      </c>
      <c r="D752" s="129"/>
      <c r="E752" s="129"/>
      <c r="F752" s="130"/>
      <c r="G752" s="134"/>
      <c r="H752" s="120"/>
      <c r="I752" s="417"/>
      <c r="J752" s="120"/>
      <c r="K752" s="404"/>
      <c r="L752" s="120">
        <f t="shared" si="138"/>
        <v>0</v>
      </c>
      <c r="M752" s="120">
        <f t="shared" si="139"/>
        <v>0</v>
      </c>
      <c r="N752" s="120">
        <f t="shared" si="140"/>
        <v>0</v>
      </c>
      <c r="O752" s="404">
        <f t="shared" si="141"/>
        <v>0</v>
      </c>
      <c r="P752" s="127">
        <f t="shared" si="142"/>
        <v>0</v>
      </c>
    </row>
    <row r="753" spans="1:16" ht="15.75">
      <c r="A753" s="260"/>
      <c r="B753" s="118"/>
      <c r="C753" s="132"/>
      <c r="D753" s="129"/>
      <c r="E753" s="129"/>
      <c r="F753" s="130"/>
      <c r="G753" s="134"/>
      <c r="H753" s="120"/>
      <c r="I753" s="417"/>
      <c r="J753" s="120"/>
      <c r="K753" s="404"/>
      <c r="L753" s="120">
        <f t="shared" si="138"/>
        <v>0</v>
      </c>
      <c r="M753" s="120">
        <f t="shared" si="139"/>
        <v>0</v>
      </c>
      <c r="N753" s="120">
        <f t="shared" si="140"/>
        <v>0</v>
      </c>
      <c r="O753" s="404">
        <f t="shared" si="141"/>
        <v>0</v>
      </c>
      <c r="P753" s="127">
        <f t="shared" si="142"/>
        <v>0</v>
      </c>
    </row>
    <row r="754" spans="1:16" ht="15.75">
      <c r="A754" s="260"/>
      <c r="B754" s="118"/>
      <c r="C754" s="132" t="s">
        <v>265</v>
      </c>
      <c r="D754" s="129"/>
      <c r="E754" s="129"/>
      <c r="F754" s="130"/>
      <c r="G754" s="134" t="s">
        <v>254</v>
      </c>
      <c r="H754" s="120">
        <v>14.37</v>
      </c>
      <c r="I754" s="417">
        <v>47.5</v>
      </c>
      <c r="J754" s="120">
        <v>504.05</v>
      </c>
      <c r="K754" s="404"/>
      <c r="L754" s="120">
        <f>J754+K754</f>
        <v>504.05</v>
      </c>
      <c r="M754" s="120">
        <f>H754*I754</f>
        <v>682.57499999999993</v>
      </c>
      <c r="N754" s="120">
        <f>H754*J754</f>
        <v>7243.1984999999995</v>
      </c>
      <c r="O754" s="404">
        <f t="shared" ref="O754:O774" si="143">H754*K754</f>
        <v>0</v>
      </c>
      <c r="P754" s="127">
        <f>H754*L754</f>
        <v>7243.1984999999995</v>
      </c>
    </row>
    <row r="755" spans="1:16" ht="15.75">
      <c r="A755" s="260"/>
      <c r="B755" s="147"/>
      <c r="C755" s="132"/>
      <c r="D755" s="129"/>
      <c r="E755" s="129"/>
      <c r="F755" s="130"/>
      <c r="G755" s="134"/>
      <c r="H755" s="120"/>
      <c r="I755" s="417"/>
      <c r="J755" s="120"/>
      <c r="K755" s="404"/>
      <c r="L755" s="120">
        <f>J755+K755</f>
        <v>0</v>
      </c>
      <c r="M755" s="120">
        <f>H755*I755</f>
        <v>0</v>
      </c>
      <c r="N755" s="120">
        <f>H755*J755</f>
        <v>0</v>
      </c>
      <c r="O755" s="404">
        <f t="shared" si="143"/>
        <v>0</v>
      </c>
      <c r="P755" s="127">
        <f>H755*L755</f>
        <v>0</v>
      </c>
    </row>
    <row r="756" spans="1:16" ht="15.75">
      <c r="A756" s="260"/>
      <c r="B756" s="147"/>
      <c r="C756" s="132" t="s">
        <v>267</v>
      </c>
      <c r="D756" s="129"/>
      <c r="E756" s="129"/>
      <c r="F756" s="130"/>
      <c r="G756" s="134"/>
      <c r="H756" s="120"/>
      <c r="I756" s="417"/>
      <c r="J756" s="120"/>
      <c r="K756" s="404"/>
      <c r="L756" s="120">
        <f t="shared" ref="L756:L792" si="144">J756+K756</f>
        <v>0</v>
      </c>
      <c r="M756" s="120">
        <f t="shared" ref="M756:M792" si="145">H756*I756</f>
        <v>0</v>
      </c>
      <c r="N756" s="120">
        <f t="shared" ref="N756:N792" si="146">H756*J756</f>
        <v>0</v>
      </c>
      <c r="O756" s="404">
        <f t="shared" si="143"/>
        <v>0</v>
      </c>
      <c r="P756" s="127">
        <f t="shared" ref="P756:P792" si="147">H756*L756</f>
        <v>0</v>
      </c>
    </row>
    <row r="757" spans="1:16" ht="15.75">
      <c r="A757" s="260"/>
      <c r="B757" s="147"/>
      <c r="C757" s="132" t="s">
        <v>266</v>
      </c>
      <c r="D757" s="129"/>
      <c r="E757" s="129"/>
      <c r="F757" s="130"/>
      <c r="G757" s="134" t="s">
        <v>254</v>
      </c>
      <c r="H757" s="120">
        <v>14.37</v>
      </c>
      <c r="I757" s="417">
        <v>38.74</v>
      </c>
      <c r="J757" s="120">
        <v>378</v>
      </c>
      <c r="K757" s="404"/>
      <c r="L757" s="120">
        <f t="shared" si="144"/>
        <v>378</v>
      </c>
      <c r="M757" s="120">
        <f t="shared" si="145"/>
        <v>556.69380000000001</v>
      </c>
      <c r="N757" s="120">
        <f t="shared" si="146"/>
        <v>5431.86</v>
      </c>
      <c r="O757" s="404">
        <f t="shared" si="143"/>
        <v>0</v>
      </c>
      <c r="P757" s="127">
        <f t="shared" si="147"/>
        <v>5431.86</v>
      </c>
    </row>
    <row r="758" spans="1:16" ht="15.75">
      <c r="A758" s="260"/>
      <c r="B758" s="147"/>
      <c r="C758" s="132"/>
      <c r="D758" s="129"/>
      <c r="E758" s="129"/>
      <c r="F758" s="130"/>
      <c r="G758" s="134"/>
      <c r="H758" s="120"/>
      <c r="I758" s="417"/>
      <c r="J758" s="120"/>
      <c r="K758" s="404"/>
      <c r="L758" s="120">
        <f t="shared" si="144"/>
        <v>0</v>
      </c>
      <c r="M758" s="120">
        <f t="shared" si="145"/>
        <v>0</v>
      </c>
      <c r="N758" s="120">
        <f t="shared" si="146"/>
        <v>0</v>
      </c>
      <c r="O758" s="404">
        <f t="shared" si="143"/>
        <v>0</v>
      </c>
      <c r="P758" s="127">
        <f t="shared" si="147"/>
        <v>0</v>
      </c>
    </row>
    <row r="759" spans="1:16" ht="15.75">
      <c r="A759" s="260"/>
      <c r="B759" s="147"/>
      <c r="C759" s="132" t="s">
        <v>359</v>
      </c>
      <c r="D759" s="129"/>
      <c r="E759" s="129"/>
      <c r="F759" s="130"/>
      <c r="G759" s="134" t="s">
        <v>254</v>
      </c>
      <c r="H759" s="120">
        <v>25.36</v>
      </c>
      <c r="I759" s="417">
        <v>381.05</v>
      </c>
      <c r="J759" s="120">
        <v>364.25</v>
      </c>
      <c r="K759" s="404"/>
      <c r="L759" s="120">
        <f t="shared" si="144"/>
        <v>364.25</v>
      </c>
      <c r="M759" s="120">
        <f t="shared" si="145"/>
        <v>9663.4279999999999</v>
      </c>
      <c r="N759" s="120">
        <f t="shared" si="146"/>
        <v>9237.3799999999992</v>
      </c>
      <c r="O759" s="404">
        <f t="shared" si="143"/>
        <v>0</v>
      </c>
      <c r="P759" s="127">
        <f t="shared" si="147"/>
        <v>9237.3799999999992</v>
      </c>
    </row>
    <row r="760" spans="1:16" ht="15.75">
      <c r="A760" s="260"/>
      <c r="B760" s="147"/>
      <c r="C760" s="1440"/>
      <c r="D760" s="1441"/>
      <c r="E760" s="1441"/>
      <c r="F760" s="1442"/>
      <c r="G760" s="157"/>
      <c r="H760" s="158"/>
      <c r="I760" s="417"/>
      <c r="J760" s="158"/>
      <c r="K760" s="406"/>
      <c r="L760" s="120">
        <f t="shared" si="144"/>
        <v>0</v>
      </c>
      <c r="M760" s="120">
        <f t="shared" si="145"/>
        <v>0</v>
      </c>
      <c r="N760" s="120">
        <f t="shared" si="146"/>
        <v>0</v>
      </c>
      <c r="O760" s="404">
        <f t="shared" si="143"/>
        <v>0</v>
      </c>
      <c r="P760" s="127">
        <f t="shared" si="147"/>
        <v>0</v>
      </c>
    </row>
    <row r="761" spans="1:16" ht="15.75">
      <c r="A761" s="260"/>
      <c r="B761" s="147"/>
      <c r="C761" s="790" t="s">
        <v>685</v>
      </c>
      <c r="D761" s="134"/>
      <c r="E761" s="134"/>
      <c r="F761" s="399"/>
      <c r="G761" s="157"/>
      <c r="H761" s="158"/>
      <c r="I761" s="417"/>
      <c r="J761" s="158"/>
      <c r="K761" s="406"/>
      <c r="L761" s="120">
        <f t="shared" si="144"/>
        <v>0</v>
      </c>
      <c r="M761" s="120">
        <f t="shared" si="145"/>
        <v>0</v>
      </c>
      <c r="N761" s="120">
        <f t="shared" si="146"/>
        <v>0</v>
      </c>
      <c r="O761" s="404">
        <f t="shared" si="143"/>
        <v>0</v>
      </c>
      <c r="P761" s="127">
        <f t="shared" si="147"/>
        <v>0</v>
      </c>
    </row>
    <row r="762" spans="1:16" ht="15.75">
      <c r="A762" s="260"/>
      <c r="B762" s="147"/>
      <c r="C762" s="380"/>
      <c r="D762" s="656"/>
      <c r="E762" s="656"/>
      <c r="F762" s="657"/>
      <c r="G762" s="157"/>
      <c r="H762" s="158"/>
      <c r="I762" s="417"/>
      <c r="J762" s="158"/>
      <c r="K762" s="406"/>
      <c r="L762" s="120"/>
      <c r="M762" s="120"/>
      <c r="N762" s="120"/>
      <c r="O762" s="404"/>
      <c r="P762" s="127"/>
    </row>
    <row r="763" spans="1:16" ht="16.5">
      <c r="A763" s="260"/>
      <c r="B763" s="147" t="s">
        <v>1035</v>
      </c>
      <c r="C763" s="1470" t="s">
        <v>1029</v>
      </c>
      <c r="D763" s="1471"/>
      <c r="E763" s="1471"/>
      <c r="F763" s="1472"/>
      <c r="G763" s="157"/>
      <c r="H763" s="158"/>
      <c r="I763" s="417"/>
      <c r="J763" s="158"/>
      <c r="K763" s="406"/>
      <c r="L763" s="120"/>
      <c r="M763" s="120"/>
      <c r="N763" s="120"/>
      <c r="O763" s="404"/>
      <c r="P763" s="127"/>
    </row>
    <row r="764" spans="1:16" ht="15.75">
      <c r="A764" s="260"/>
      <c r="B764" s="147"/>
      <c r="C764" s="1473" t="s">
        <v>1030</v>
      </c>
      <c r="D764" s="1474"/>
      <c r="E764" s="1474"/>
      <c r="F764" s="1475"/>
      <c r="G764" s="157" t="s">
        <v>684</v>
      </c>
      <c r="H764" s="158">
        <v>834.71</v>
      </c>
      <c r="I764" s="417">
        <v>2</v>
      </c>
      <c r="J764" s="158">
        <v>2</v>
      </c>
      <c r="K764" s="406">
        <v>0</v>
      </c>
      <c r="L764" s="120">
        <f t="shared" ref="L764:L770" si="148">J764+K764</f>
        <v>2</v>
      </c>
      <c r="M764" s="120">
        <f t="shared" ref="M764:M770" si="149">H764*I764</f>
        <v>1669.42</v>
      </c>
      <c r="N764" s="120">
        <f t="shared" ref="N764:N770" si="150">H764*J764</f>
        <v>1669.42</v>
      </c>
      <c r="O764" s="404">
        <f t="shared" ref="O764:O770" si="151">H764*K764</f>
        <v>0</v>
      </c>
      <c r="P764" s="127">
        <f t="shared" ref="P764:P770" si="152">H764*L764</f>
        <v>1669.42</v>
      </c>
    </row>
    <row r="765" spans="1:16" ht="15.75">
      <c r="A765" s="260"/>
      <c r="B765" s="147"/>
      <c r="C765" s="1473" t="s">
        <v>1031</v>
      </c>
      <c r="D765" s="1474"/>
      <c r="E765" s="1474"/>
      <c r="F765" s="1475"/>
      <c r="G765" s="157" t="s">
        <v>684</v>
      </c>
      <c r="H765" s="158">
        <v>2778.91</v>
      </c>
      <c r="I765" s="417">
        <v>1</v>
      </c>
      <c r="J765" s="158">
        <v>1</v>
      </c>
      <c r="K765" s="406">
        <v>0</v>
      </c>
      <c r="L765" s="120">
        <f t="shared" si="148"/>
        <v>1</v>
      </c>
      <c r="M765" s="120">
        <f t="shared" si="149"/>
        <v>2778.91</v>
      </c>
      <c r="N765" s="120">
        <f t="shared" si="150"/>
        <v>2778.91</v>
      </c>
      <c r="O765" s="404">
        <f t="shared" si="151"/>
        <v>0</v>
      </c>
      <c r="P765" s="127">
        <f t="shared" si="152"/>
        <v>2778.91</v>
      </c>
    </row>
    <row r="766" spans="1:16" ht="15.75">
      <c r="A766" s="260"/>
      <c r="B766" s="147"/>
      <c r="C766" s="1473" t="s">
        <v>1032</v>
      </c>
      <c r="D766" s="1474"/>
      <c r="E766" s="1474"/>
      <c r="F766" s="1475"/>
      <c r="G766" s="157" t="s">
        <v>684</v>
      </c>
      <c r="H766" s="158">
        <v>834.71</v>
      </c>
      <c r="I766" s="417">
        <v>2</v>
      </c>
      <c r="J766" s="158">
        <v>2</v>
      </c>
      <c r="K766" s="406">
        <v>0</v>
      </c>
      <c r="L766" s="120">
        <f t="shared" si="148"/>
        <v>2</v>
      </c>
      <c r="M766" s="120">
        <f t="shared" si="149"/>
        <v>1669.42</v>
      </c>
      <c r="N766" s="120">
        <f t="shared" si="150"/>
        <v>1669.42</v>
      </c>
      <c r="O766" s="404">
        <f t="shared" si="151"/>
        <v>0</v>
      </c>
      <c r="P766" s="127">
        <f t="shared" si="152"/>
        <v>1669.42</v>
      </c>
    </row>
    <row r="767" spans="1:16" ht="15.75">
      <c r="A767" s="260"/>
      <c r="B767" s="147"/>
      <c r="C767" s="1473" t="s">
        <v>1033</v>
      </c>
      <c r="D767" s="1474"/>
      <c r="E767" s="1474"/>
      <c r="F767" s="1475"/>
      <c r="G767" s="157" t="s">
        <v>684</v>
      </c>
      <c r="H767" s="158">
        <v>2778.91</v>
      </c>
      <c r="I767" s="417">
        <v>1</v>
      </c>
      <c r="J767" s="158">
        <v>1</v>
      </c>
      <c r="K767" s="406">
        <v>0</v>
      </c>
      <c r="L767" s="120">
        <f t="shared" si="148"/>
        <v>1</v>
      </c>
      <c r="M767" s="120">
        <f t="shared" si="149"/>
        <v>2778.91</v>
      </c>
      <c r="N767" s="120">
        <f t="shared" si="150"/>
        <v>2778.91</v>
      </c>
      <c r="O767" s="404">
        <f t="shared" si="151"/>
        <v>0</v>
      </c>
      <c r="P767" s="127">
        <f t="shared" si="152"/>
        <v>2778.91</v>
      </c>
    </row>
    <row r="768" spans="1:16" ht="15.75">
      <c r="A768" s="260"/>
      <c r="B768" s="147"/>
      <c r="C768" s="1473" t="s">
        <v>1034</v>
      </c>
      <c r="D768" s="1474"/>
      <c r="E768" s="1474"/>
      <c r="F768" s="1475"/>
      <c r="G768" s="157" t="s">
        <v>684</v>
      </c>
      <c r="H768" s="158">
        <v>14344.42</v>
      </c>
      <c r="I768" s="417">
        <v>1</v>
      </c>
      <c r="J768" s="158">
        <v>1</v>
      </c>
      <c r="K768" s="406">
        <v>0</v>
      </c>
      <c r="L768" s="120">
        <f t="shared" si="148"/>
        <v>1</v>
      </c>
      <c r="M768" s="120">
        <f t="shared" si="149"/>
        <v>14344.42</v>
      </c>
      <c r="N768" s="120">
        <f t="shared" si="150"/>
        <v>14344.42</v>
      </c>
      <c r="O768" s="404">
        <f t="shared" si="151"/>
        <v>0</v>
      </c>
      <c r="P768" s="127">
        <f t="shared" si="152"/>
        <v>14344.42</v>
      </c>
    </row>
    <row r="769" spans="1:16" ht="15.75">
      <c r="A769" s="260"/>
      <c r="B769" s="147"/>
      <c r="C769" s="380"/>
      <c r="D769" s="656"/>
      <c r="E769" s="656"/>
      <c r="F769" s="657"/>
      <c r="G769" s="157"/>
      <c r="H769" s="158"/>
      <c r="I769" s="417"/>
      <c r="J769" s="158"/>
      <c r="K769" s="406"/>
      <c r="L769" s="120">
        <f t="shared" si="148"/>
        <v>0</v>
      </c>
      <c r="M769" s="120">
        <f t="shared" si="149"/>
        <v>0</v>
      </c>
      <c r="N769" s="120">
        <f t="shared" si="150"/>
        <v>0</v>
      </c>
      <c r="O769" s="404">
        <f t="shared" si="151"/>
        <v>0</v>
      </c>
      <c r="P769" s="127">
        <f t="shared" si="152"/>
        <v>0</v>
      </c>
    </row>
    <row r="770" spans="1:16" ht="18.75" customHeight="1">
      <c r="A770" s="260"/>
      <c r="B770" s="147" t="s">
        <v>1036</v>
      </c>
      <c r="C770" s="1470" t="s">
        <v>686</v>
      </c>
      <c r="D770" s="1471"/>
      <c r="E770" s="1471"/>
      <c r="F770" s="1472"/>
      <c r="G770" s="157"/>
      <c r="H770" s="158"/>
      <c r="I770" s="417"/>
      <c r="J770" s="158"/>
      <c r="K770" s="406"/>
      <c r="L770" s="120">
        <f t="shared" si="148"/>
        <v>0</v>
      </c>
      <c r="M770" s="120">
        <f t="shared" si="149"/>
        <v>0</v>
      </c>
      <c r="N770" s="120">
        <f t="shared" si="150"/>
        <v>0</v>
      </c>
      <c r="O770" s="404">
        <f t="shared" si="151"/>
        <v>0</v>
      </c>
      <c r="P770" s="127">
        <f t="shared" si="152"/>
        <v>0</v>
      </c>
    </row>
    <row r="771" spans="1:16" ht="20.25" customHeight="1">
      <c r="A771" s="260"/>
      <c r="B771" s="147"/>
      <c r="C771" s="1461" t="s">
        <v>687</v>
      </c>
      <c r="D771" s="1462"/>
      <c r="E771" s="1462"/>
      <c r="F771" s="1463"/>
      <c r="G771" s="157" t="s">
        <v>684</v>
      </c>
      <c r="H771" s="158">
        <v>1668.46</v>
      </c>
      <c r="I771" s="417">
        <v>4</v>
      </c>
      <c r="J771" s="158">
        <v>6</v>
      </c>
      <c r="K771" s="406"/>
      <c r="L771" s="120">
        <f t="shared" si="144"/>
        <v>6</v>
      </c>
      <c r="M771" s="120">
        <f t="shared" si="145"/>
        <v>6673.84</v>
      </c>
      <c r="N771" s="120">
        <f t="shared" si="146"/>
        <v>10010.76</v>
      </c>
      <c r="O771" s="404">
        <f t="shared" si="143"/>
        <v>0</v>
      </c>
      <c r="P771" s="127">
        <f t="shared" si="147"/>
        <v>10010.76</v>
      </c>
    </row>
    <row r="772" spans="1:16" ht="15.75">
      <c r="A772" s="260"/>
      <c r="B772" s="147"/>
      <c r="C772" s="1461" t="s">
        <v>688</v>
      </c>
      <c r="D772" s="1462"/>
      <c r="E772" s="1462"/>
      <c r="F772" s="1463"/>
      <c r="G772" s="157" t="s">
        <v>684</v>
      </c>
      <c r="H772" s="158">
        <v>828.98</v>
      </c>
      <c r="I772" s="417">
        <v>3</v>
      </c>
      <c r="J772" s="158">
        <v>5</v>
      </c>
      <c r="K772" s="406"/>
      <c r="L772" s="120">
        <f t="shared" si="144"/>
        <v>5</v>
      </c>
      <c r="M772" s="120">
        <f t="shared" si="145"/>
        <v>2486.94</v>
      </c>
      <c r="N772" s="120">
        <f t="shared" si="146"/>
        <v>4144.8999999999996</v>
      </c>
      <c r="O772" s="404">
        <f t="shared" si="143"/>
        <v>0</v>
      </c>
      <c r="P772" s="127">
        <f t="shared" si="147"/>
        <v>4144.8999999999996</v>
      </c>
    </row>
    <row r="773" spans="1:16" ht="15.75">
      <c r="A773" s="260"/>
      <c r="B773" s="147"/>
      <c r="C773" s="1461" t="s">
        <v>689</v>
      </c>
      <c r="D773" s="1462"/>
      <c r="E773" s="1462"/>
      <c r="F773" s="1463"/>
      <c r="G773" s="157" t="s">
        <v>684</v>
      </c>
      <c r="H773" s="158">
        <v>1876.22</v>
      </c>
      <c r="I773" s="417">
        <v>1</v>
      </c>
      <c r="J773" s="158">
        <f>1+1</f>
        <v>2</v>
      </c>
      <c r="K773" s="406">
        <v>0</v>
      </c>
      <c r="L773" s="120">
        <f t="shared" si="144"/>
        <v>2</v>
      </c>
      <c r="M773" s="120">
        <f t="shared" si="145"/>
        <v>1876.22</v>
      </c>
      <c r="N773" s="120">
        <f t="shared" si="146"/>
        <v>3752.44</v>
      </c>
      <c r="O773" s="404">
        <f t="shared" si="143"/>
        <v>0</v>
      </c>
      <c r="P773" s="127">
        <f t="shared" si="147"/>
        <v>3752.44</v>
      </c>
    </row>
    <row r="774" spans="1:16" ht="15.75">
      <c r="A774" s="260"/>
      <c r="B774" s="147"/>
      <c r="C774" s="1461" t="s">
        <v>690</v>
      </c>
      <c r="D774" s="1462"/>
      <c r="E774" s="1462"/>
      <c r="F774" s="1463"/>
      <c r="G774" s="157" t="s">
        <v>684</v>
      </c>
      <c r="H774" s="158">
        <v>828.98</v>
      </c>
      <c r="I774" s="417">
        <v>3</v>
      </c>
      <c r="J774" s="158">
        <f>3+3</f>
        <v>6</v>
      </c>
      <c r="K774" s="406">
        <v>0</v>
      </c>
      <c r="L774" s="120">
        <f t="shared" si="144"/>
        <v>6</v>
      </c>
      <c r="M774" s="120">
        <f t="shared" si="145"/>
        <v>2486.94</v>
      </c>
      <c r="N774" s="120">
        <f t="shared" si="146"/>
        <v>4973.88</v>
      </c>
      <c r="O774" s="404">
        <f t="shared" si="143"/>
        <v>0</v>
      </c>
      <c r="P774" s="127">
        <f t="shared" si="147"/>
        <v>4973.88</v>
      </c>
    </row>
    <row r="775" spans="1:16" ht="15.75">
      <c r="A775" s="260"/>
      <c r="B775" s="147"/>
      <c r="C775" s="1461" t="s">
        <v>691</v>
      </c>
      <c r="D775" s="1462"/>
      <c r="E775" s="1462"/>
      <c r="F775" s="1463"/>
      <c r="G775" s="157" t="s">
        <v>684</v>
      </c>
      <c r="H775" s="158">
        <v>3977.02</v>
      </c>
      <c r="I775" s="417">
        <v>3</v>
      </c>
      <c r="J775" s="158">
        <f>1+2</f>
        <v>3</v>
      </c>
      <c r="K775" s="406">
        <v>0</v>
      </c>
      <c r="L775" s="120">
        <f t="shared" ref="L775:L780" si="153">J775+K775</f>
        <v>3</v>
      </c>
      <c r="M775" s="120">
        <f>H775*I775</f>
        <v>11931.06</v>
      </c>
      <c r="N775" s="120">
        <f>H775*J775</f>
        <v>11931.06</v>
      </c>
      <c r="O775" s="404">
        <f>H775*K775</f>
        <v>0</v>
      </c>
      <c r="P775" s="127">
        <f>H775*L775</f>
        <v>11931.06</v>
      </c>
    </row>
    <row r="776" spans="1:16" ht="18">
      <c r="A776" s="260"/>
      <c r="B776" s="780" t="s">
        <v>496</v>
      </c>
      <c r="C776" s="1461" t="s">
        <v>1175</v>
      </c>
      <c r="D776" s="1462"/>
      <c r="E776" s="1462"/>
      <c r="F776" s="1463"/>
      <c r="G776" s="782" t="s">
        <v>1174</v>
      </c>
      <c r="H776" s="158">
        <v>527.29999999999995</v>
      </c>
      <c r="I776" s="417"/>
      <c r="J776" s="158">
        <v>15.6</v>
      </c>
      <c r="K776" s="406">
        <v>0</v>
      </c>
      <c r="L776" s="120">
        <f t="shared" si="153"/>
        <v>15.6</v>
      </c>
      <c r="M776" s="120"/>
      <c r="N776" s="120"/>
      <c r="O776" s="404">
        <f>H776*K776</f>
        <v>0</v>
      </c>
      <c r="P776" s="127">
        <f>H776*L776</f>
        <v>8225.8799999999992</v>
      </c>
    </row>
    <row r="777" spans="1:16" ht="15.75">
      <c r="A777" s="260"/>
      <c r="B777" s="780"/>
      <c r="C777" s="1464" t="s">
        <v>746</v>
      </c>
      <c r="D777" s="1465"/>
      <c r="E777" s="1465"/>
      <c r="F777" s="1466"/>
      <c r="G777" s="1036"/>
      <c r="H777" s="120"/>
      <c r="I777" s="419"/>
      <c r="J777" s="158">
        <v>0</v>
      </c>
      <c r="K777" s="406"/>
      <c r="L777" s="158">
        <f t="shared" si="153"/>
        <v>0</v>
      </c>
      <c r="M777" s="158">
        <f t="shared" si="145"/>
        <v>0</v>
      </c>
      <c r="N777" s="158">
        <f t="shared" si="146"/>
        <v>0</v>
      </c>
      <c r="O777" s="404">
        <f>H777*K777</f>
        <v>0</v>
      </c>
      <c r="P777" s="127">
        <f t="shared" si="147"/>
        <v>0</v>
      </c>
    </row>
    <row r="778" spans="1:16" ht="15.75">
      <c r="A778" s="260"/>
      <c r="B778" s="509" t="s">
        <v>759</v>
      </c>
      <c r="C778" s="1413" t="s">
        <v>760</v>
      </c>
      <c r="D778" s="1414"/>
      <c r="E778" s="1414"/>
      <c r="F778" s="1415"/>
      <c r="G778" s="1036"/>
      <c r="H778" s="120"/>
      <c r="I778" s="417"/>
      <c r="J778" s="120">
        <v>0</v>
      </c>
      <c r="K778" s="404"/>
      <c r="L778" s="120">
        <f t="shared" si="153"/>
        <v>0</v>
      </c>
      <c r="M778" s="120"/>
      <c r="N778" s="120"/>
      <c r="O778" s="404"/>
      <c r="P778" s="486"/>
    </row>
    <row r="779" spans="1:16" ht="15.75">
      <c r="A779" s="260"/>
      <c r="B779" s="509"/>
      <c r="C779" s="1413" t="s">
        <v>747</v>
      </c>
      <c r="D779" s="1414"/>
      <c r="E779" s="1414"/>
      <c r="F779" s="1415"/>
      <c r="G779" s="1036"/>
      <c r="H779" s="120"/>
      <c r="I779" s="417"/>
      <c r="J779" s="120">
        <v>0</v>
      </c>
      <c r="K779" s="404"/>
      <c r="L779" s="120">
        <f t="shared" si="153"/>
        <v>0</v>
      </c>
      <c r="M779" s="120"/>
      <c r="N779" s="120"/>
      <c r="O779" s="404"/>
      <c r="P779" s="486"/>
    </row>
    <row r="780" spans="1:16" ht="18">
      <c r="A780" s="260"/>
      <c r="B780" s="509"/>
      <c r="C780" s="1413" t="s">
        <v>748</v>
      </c>
      <c r="D780" s="1414"/>
      <c r="E780" s="1414"/>
      <c r="F780" s="1415"/>
      <c r="G780" s="1036" t="s">
        <v>749</v>
      </c>
      <c r="H780" s="120">
        <v>55.76</v>
      </c>
      <c r="I780" s="417">
        <v>394.58</v>
      </c>
      <c r="J780" s="120">
        <v>658.95</v>
      </c>
      <c r="K780" s="404">
        <v>0</v>
      </c>
      <c r="L780" s="120">
        <f t="shared" si="153"/>
        <v>658.95</v>
      </c>
      <c r="M780" s="120">
        <f>H780*I780</f>
        <v>22001.780799999997</v>
      </c>
      <c r="N780" s="120">
        <f>H780*J780</f>
        <v>36743.052000000003</v>
      </c>
      <c r="O780" s="404">
        <f>H780*K780</f>
        <v>0</v>
      </c>
      <c r="P780" s="486">
        <f>H780*L780</f>
        <v>36743.052000000003</v>
      </c>
    </row>
    <row r="781" spans="1:16" ht="15.75">
      <c r="A781" s="260"/>
      <c r="B781" s="147"/>
      <c r="C781" s="771"/>
      <c r="D781" s="772"/>
      <c r="E781" s="772"/>
      <c r="F781" s="784"/>
      <c r="G781" s="785"/>
      <c r="H781" s="246"/>
      <c r="I781" s="416"/>
      <c r="J781" s="120"/>
      <c r="K781" s="404"/>
      <c r="L781" s="120">
        <f t="shared" ref="L781:L785" si="154">J781+K781</f>
        <v>0</v>
      </c>
      <c r="M781" s="120">
        <f t="shared" ref="M781:M785" si="155">H781*I781</f>
        <v>0</v>
      </c>
      <c r="N781" s="120">
        <f t="shared" ref="N781:N785" si="156">H781*J781</f>
        <v>0</v>
      </c>
      <c r="O781" s="404">
        <f t="shared" ref="O781:O785" si="157">H781*K781</f>
        <v>0</v>
      </c>
      <c r="P781" s="486">
        <f t="shared" ref="P781:P785" si="158">H781*L781</f>
        <v>0</v>
      </c>
    </row>
    <row r="782" spans="1:16" ht="15.75">
      <c r="A782" s="260"/>
      <c r="B782" s="147"/>
      <c r="C782" s="653"/>
      <c r="D782" s="654"/>
      <c r="E782" s="654"/>
      <c r="F782" s="655"/>
      <c r="G782" s="657"/>
      <c r="H782" s="120"/>
      <c r="I782" s="417"/>
      <c r="J782" s="120"/>
      <c r="K782" s="404"/>
      <c r="L782" s="120">
        <f t="shared" si="154"/>
        <v>0</v>
      </c>
      <c r="M782" s="120">
        <f t="shared" si="155"/>
        <v>0</v>
      </c>
      <c r="N782" s="120">
        <f t="shared" si="156"/>
        <v>0</v>
      </c>
      <c r="O782" s="404">
        <f t="shared" si="157"/>
        <v>0</v>
      </c>
      <c r="P782" s="486">
        <f t="shared" si="158"/>
        <v>0</v>
      </c>
    </row>
    <row r="783" spans="1:16" ht="15.75">
      <c r="A783" s="260"/>
      <c r="B783" s="509" t="s">
        <v>1037</v>
      </c>
      <c r="C783" s="653" t="s">
        <v>1038</v>
      </c>
      <c r="D783" s="654"/>
      <c r="E783" s="654"/>
      <c r="F783" s="655"/>
      <c r="G783" s="657"/>
      <c r="H783" s="120"/>
      <c r="I783" s="417"/>
      <c r="J783" s="120"/>
      <c r="K783" s="404"/>
      <c r="L783" s="120">
        <f t="shared" si="154"/>
        <v>0</v>
      </c>
      <c r="M783" s="120">
        <f t="shared" si="155"/>
        <v>0</v>
      </c>
      <c r="N783" s="120">
        <f t="shared" si="156"/>
        <v>0</v>
      </c>
      <c r="O783" s="404">
        <f t="shared" si="157"/>
        <v>0</v>
      </c>
      <c r="P783" s="486">
        <f t="shared" si="158"/>
        <v>0</v>
      </c>
    </row>
    <row r="784" spans="1:16" ht="18">
      <c r="A784" s="260"/>
      <c r="B784" s="147"/>
      <c r="C784" s="653" t="s">
        <v>1039</v>
      </c>
      <c r="D784" s="654"/>
      <c r="E784" s="654"/>
      <c r="F784" s="655"/>
      <c r="G784" s="663" t="s">
        <v>749</v>
      </c>
      <c r="H784" s="120">
        <v>60.06</v>
      </c>
      <c r="I784" s="417">
        <v>181.85</v>
      </c>
      <c r="J784" s="120">
        <f>217.87</f>
        <v>217.87</v>
      </c>
      <c r="K784" s="404">
        <v>0</v>
      </c>
      <c r="L784" s="120">
        <f t="shared" si="154"/>
        <v>217.87</v>
      </c>
      <c r="M784" s="120">
        <f t="shared" si="155"/>
        <v>10921.911</v>
      </c>
      <c r="N784" s="120">
        <f t="shared" si="156"/>
        <v>13085.272200000001</v>
      </c>
      <c r="O784" s="404">
        <f t="shared" si="157"/>
        <v>0</v>
      </c>
      <c r="P784" s="486">
        <f t="shared" si="158"/>
        <v>13085.272200000001</v>
      </c>
    </row>
    <row r="785" spans="1:16" ht="15.75">
      <c r="A785" s="260"/>
      <c r="B785" s="147"/>
      <c r="C785" s="653"/>
      <c r="D785" s="654"/>
      <c r="E785" s="654"/>
      <c r="F785" s="655"/>
      <c r="G785" s="657"/>
      <c r="H785" s="120"/>
      <c r="I785" s="417"/>
      <c r="J785" s="120"/>
      <c r="K785" s="404"/>
      <c r="L785" s="120">
        <f t="shared" si="154"/>
        <v>0</v>
      </c>
      <c r="M785" s="120">
        <f t="shared" si="155"/>
        <v>0</v>
      </c>
      <c r="N785" s="120">
        <f t="shared" si="156"/>
        <v>0</v>
      </c>
      <c r="O785" s="404">
        <f t="shared" si="157"/>
        <v>0</v>
      </c>
      <c r="P785" s="486">
        <f t="shared" si="158"/>
        <v>0</v>
      </c>
    </row>
    <row r="786" spans="1:16" ht="15.75">
      <c r="A786" s="260"/>
      <c r="B786" s="147"/>
      <c r="C786" s="775"/>
      <c r="D786" s="776"/>
      <c r="E786" s="776"/>
      <c r="F786" s="789"/>
      <c r="G786" s="782"/>
      <c r="H786" s="158"/>
      <c r="I786" s="419"/>
      <c r="J786" s="158"/>
      <c r="K786" s="406"/>
      <c r="L786" s="158"/>
      <c r="M786" s="158"/>
      <c r="N786" s="158"/>
      <c r="O786" s="406"/>
      <c r="P786" s="777"/>
    </row>
    <row r="787" spans="1:16" ht="16.5" thickBot="1">
      <c r="A787" s="260"/>
      <c r="B787" s="155"/>
      <c r="C787" s="668"/>
      <c r="D787" s="664"/>
      <c r="E787" s="664"/>
      <c r="F787" s="669"/>
      <c r="G787" s="663"/>
      <c r="H787" s="398"/>
      <c r="I787" s="484"/>
      <c r="J787" s="398"/>
      <c r="K787" s="485"/>
      <c r="L787" s="398"/>
      <c r="M787" s="398"/>
      <c r="N787" s="398"/>
      <c r="O787" s="485"/>
      <c r="P787" s="486"/>
    </row>
    <row r="788" spans="1:16" ht="17.25" thickTop="1" thickBot="1">
      <c r="A788" s="260"/>
      <c r="B788" s="276"/>
      <c r="C788" s="786" t="s">
        <v>312</v>
      </c>
      <c r="D788" s="787"/>
      <c r="E788" s="787"/>
      <c r="F788" s="788"/>
      <c r="G788" s="487"/>
      <c r="H788" s="281"/>
      <c r="I788" s="420"/>
      <c r="J788" s="281"/>
      <c r="K788" s="259"/>
      <c r="L788" s="259"/>
      <c r="M788" s="259">
        <f>SUM(M642:M784)</f>
        <v>362232.67579999991</v>
      </c>
      <c r="N788" s="259">
        <f t="shared" ref="N788:O788" si="159">SUM(N642:N784)</f>
        <v>413546.12129999994</v>
      </c>
      <c r="O788" s="407">
        <f t="shared" si="159"/>
        <v>0</v>
      </c>
      <c r="P788" s="524">
        <f>SUM(P642:P784)</f>
        <v>421772.00129999995</v>
      </c>
    </row>
    <row r="789" spans="1:16" s="610" customFormat="1" ht="18.75" thickTop="1">
      <c r="A789" s="603"/>
      <c r="B789" s="781"/>
      <c r="C789" s="625" t="s">
        <v>360</v>
      </c>
      <c r="D789" s="626"/>
      <c r="E789" s="627"/>
      <c r="F789" s="628"/>
      <c r="G789" s="783"/>
      <c r="H789" s="608"/>
      <c r="I789" s="417"/>
      <c r="J789" s="608"/>
      <c r="K789" s="404"/>
      <c r="L789" s="608"/>
      <c r="M789" s="608"/>
      <c r="N789" s="608"/>
      <c r="O789" s="404"/>
      <c r="P789" s="623"/>
    </row>
    <row r="790" spans="1:16" ht="15.75">
      <c r="A790" s="260"/>
      <c r="B790" s="147"/>
      <c r="C790" s="128" t="s">
        <v>361</v>
      </c>
      <c r="D790" s="133"/>
      <c r="E790" s="129"/>
      <c r="F790" s="130"/>
      <c r="G790" s="134"/>
      <c r="H790" s="120"/>
      <c r="I790" s="417"/>
      <c r="J790" s="120"/>
      <c r="K790" s="404"/>
      <c r="L790" s="120"/>
      <c r="M790" s="120"/>
      <c r="N790" s="120"/>
      <c r="O790" s="404"/>
      <c r="P790" s="127"/>
    </row>
    <row r="791" spans="1:16" ht="15.75">
      <c r="A791" s="260"/>
      <c r="B791" s="450">
        <v>12</v>
      </c>
      <c r="C791" s="132" t="s">
        <v>271</v>
      </c>
      <c r="D791" s="129"/>
      <c r="E791" s="129"/>
      <c r="F791" s="130"/>
      <c r="G791" s="134"/>
      <c r="H791" s="120"/>
      <c r="I791" s="417"/>
      <c r="J791" s="120"/>
      <c r="K791" s="404"/>
      <c r="L791" s="120"/>
      <c r="M791" s="120"/>
      <c r="N791" s="120"/>
      <c r="O791" s="404"/>
      <c r="P791" s="127"/>
    </row>
    <row r="792" spans="1:16" ht="15.75">
      <c r="A792" s="260"/>
      <c r="B792" s="450">
        <v>21.01</v>
      </c>
      <c r="C792" s="132" t="s">
        <v>271</v>
      </c>
      <c r="D792" s="129"/>
      <c r="E792" s="129"/>
      <c r="F792" s="130"/>
      <c r="G792" s="134" t="s">
        <v>362</v>
      </c>
      <c r="H792" s="120">
        <v>11363.68</v>
      </c>
      <c r="I792" s="417">
        <v>1.82</v>
      </c>
      <c r="J792" s="120">
        <v>1.34</v>
      </c>
      <c r="K792" s="404"/>
      <c r="L792" s="120">
        <f t="shared" si="144"/>
        <v>1.34</v>
      </c>
      <c r="M792" s="120">
        <f t="shared" si="145"/>
        <v>20681.8976</v>
      </c>
      <c r="N792" s="120">
        <f t="shared" si="146"/>
        <v>15227.331200000001</v>
      </c>
      <c r="O792" s="404">
        <f>H792*K792</f>
        <v>0</v>
      </c>
      <c r="P792" s="127">
        <f t="shared" si="147"/>
        <v>15227.331200000001</v>
      </c>
    </row>
    <row r="793" spans="1:16" ht="15.75">
      <c r="A793" s="260"/>
      <c r="B793" s="450"/>
      <c r="C793" s="132"/>
      <c r="D793" s="129"/>
      <c r="E793" s="129"/>
      <c r="F793" s="130"/>
      <c r="G793" s="134"/>
      <c r="H793" s="120"/>
      <c r="I793" s="417"/>
      <c r="J793" s="120"/>
      <c r="K793" s="404"/>
      <c r="L793" s="120">
        <f t="shared" ref="L793:L801" si="160">J793+K793</f>
        <v>0</v>
      </c>
      <c r="M793" s="120">
        <f t="shared" ref="M793:M801" si="161">H793*I793</f>
        <v>0</v>
      </c>
      <c r="N793" s="120">
        <f t="shared" ref="N793:N801" si="162">H793*J793</f>
        <v>0</v>
      </c>
      <c r="O793" s="404">
        <f t="shared" ref="O793:O801" si="163">H793*K793</f>
        <v>0</v>
      </c>
      <c r="P793" s="127">
        <f t="shared" ref="P793:P801" si="164">H793*L793</f>
        <v>0</v>
      </c>
    </row>
    <row r="794" spans="1:16" ht="18">
      <c r="A794" s="260"/>
      <c r="B794" s="450">
        <v>42</v>
      </c>
      <c r="C794" s="148" t="s">
        <v>659</v>
      </c>
      <c r="D794" s="129"/>
      <c r="E794" s="129"/>
      <c r="F794" s="130"/>
      <c r="G794" s="134"/>
      <c r="H794" s="120"/>
      <c r="I794" s="417"/>
      <c r="J794" s="120"/>
      <c r="K794" s="404"/>
      <c r="L794" s="120">
        <f t="shared" si="160"/>
        <v>0</v>
      </c>
      <c r="M794" s="120">
        <f t="shared" si="161"/>
        <v>0</v>
      </c>
      <c r="N794" s="120">
        <f t="shared" si="162"/>
        <v>0</v>
      </c>
      <c r="O794" s="404">
        <f t="shared" si="163"/>
        <v>0</v>
      </c>
      <c r="P794" s="127">
        <f t="shared" si="164"/>
        <v>0</v>
      </c>
    </row>
    <row r="795" spans="1:16" ht="15.75">
      <c r="A795" s="260"/>
      <c r="B795" s="450">
        <v>42.01</v>
      </c>
      <c r="C795" s="132" t="s">
        <v>660</v>
      </c>
      <c r="D795" s="129"/>
      <c r="E795" s="129"/>
      <c r="F795" s="130"/>
      <c r="G795" s="134"/>
      <c r="H795" s="120"/>
      <c r="I795" s="417"/>
      <c r="J795" s="120"/>
      <c r="K795" s="404"/>
      <c r="L795" s="120">
        <f t="shared" si="160"/>
        <v>0</v>
      </c>
      <c r="M795" s="120">
        <f t="shared" si="161"/>
        <v>0</v>
      </c>
      <c r="N795" s="120">
        <f t="shared" si="162"/>
        <v>0</v>
      </c>
      <c r="O795" s="404">
        <f t="shared" si="163"/>
        <v>0</v>
      </c>
      <c r="P795" s="127">
        <f t="shared" si="164"/>
        <v>0</v>
      </c>
    </row>
    <row r="796" spans="1:16" ht="15.75">
      <c r="A796" s="260"/>
      <c r="B796" s="450" t="s">
        <v>661</v>
      </c>
      <c r="C796" s="132" t="s">
        <v>662</v>
      </c>
      <c r="D796" s="129"/>
      <c r="E796" s="129"/>
      <c r="F796" s="130"/>
      <c r="G796" s="134" t="s">
        <v>663</v>
      </c>
      <c r="H796" s="120"/>
      <c r="I796" s="417">
        <v>0</v>
      </c>
      <c r="J796" s="120"/>
      <c r="K796" s="404"/>
      <c r="L796" s="120">
        <f t="shared" si="160"/>
        <v>0</v>
      </c>
      <c r="M796" s="120">
        <f t="shared" si="161"/>
        <v>0</v>
      </c>
      <c r="N796" s="120">
        <f t="shared" si="162"/>
        <v>0</v>
      </c>
      <c r="O796" s="404">
        <f t="shared" si="163"/>
        <v>0</v>
      </c>
      <c r="P796" s="127">
        <f t="shared" si="164"/>
        <v>0</v>
      </c>
    </row>
    <row r="797" spans="1:16" ht="15.75">
      <c r="A797" s="260"/>
      <c r="B797" s="450" t="s">
        <v>657</v>
      </c>
      <c r="C797" s="132" t="s">
        <v>658</v>
      </c>
      <c r="D797" s="129"/>
      <c r="E797" s="129"/>
      <c r="F797" s="130"/>
      <c r="G797" s="134" t="s">
        <v>663</v>
      </c>
      <c r="H797" s="120">
        <v>134.52786816100124</v>
      </c>
      <c r="I797" s="417">
        <v>14445.320000000002</v>
      </c>
      <c r="J797" s="120">
        <v>27327.74</v>
      </c>
      <c r="K797" s="404">
        <f>'Site Road'!F102</f>
        <v>5271.8019999999997</v>
      </c>
      <c r="L797" s="120">
        <f t="shared" si="160"/>
        <v>32599.542000000001</v>
      </c>
      <c r="M797" s="120">
        <f t="shared" si="161"/>
        <v>1943298.1045034747</v>
      </c>
      <c r="N797" s="120">
        <f t="shared" si="162"/>
        <v>3676342.6038581203</v>
      </c>
      <c r="O797" s="404">
        <f>H797*K797</f>
        <v>709204.28442690265</v>
      </c>
      <c r="P797" s="127">
        <f t="shared" si="164"/>
        <v>4385546.8882850232</v>
      </c>
    </row>
    <row r="798" spans="1:16" ht="15.75">
      <c r="A798" s="260"/>
      <c r="B798" s="450">
        <v>42.03</v>
      </c>
      <c r="C798" s="132" t="s">
        <v>664</v>
      </c>
      <c r="D798" s="129"/>
      <c r="E798" s="129"/>
      <c r="F798" s="130"/>
      <c r="G798" s="134"/>
      <c r="H798" s="120"/>
      <c r="I798" s="417"/>
      <c r="J798" s="120"/>
      <c r="K798" s="404"/>
      <c r="L798" s="120">
        <f t="shared" si="160"/>
        <v>0</v>
      </c>
      <c r="M798" s="120">
        <f t="shared" si="161"/>
        <v>0</v>
      </c>
      <c r="N798" s="120">
        <f t="shared" si="162"/>
        <v>0</v>
      </c>
      <c r="O798" s="404">
        <f t="shared" si="163"/>
        <v>0</v>
      </c>
      <c r="P798" s="127">
        <f t="shared" si="164"/>
        <v>0</v>
      </c>
    </row>
    <row r="799" spans="1:16" ht="15.75">
      <c r="A799" s="260"/>
      <c r="B799" s="450" t="s">
        <v>665</v>
      </c>
      <c r="C799" s="132" t="s">
        <v>666</v>
      </c>
      <c r="D799" s="129"/>
      <c r="E799" s="129"/>
      <c r="F799" s="130"/>
      <c r="G799" s="134" t="s">
        <v>663</v>
      </c>
      <c r="H799" s="120">
        <v>68.707542846289527</v>
      </c>
      <c r="I799" s="417">
        <v>5962.87</v>
      </c>
      <c r="J799" s="120">
        <v>17601.55</v>
      </c>
      <c r="K799" s="404"/>
      <c r="L799" s="120">
        <f t="shared" si="160"/>
        <v>17601.55</v>
      </c>
      <c r="M799" s="120">
        <f t="shared" si="161"/>
        <v>409694.14601185441</v>
      </c>
      <c r="N799" s="120">
        <f t="shared" si="162"/>
        <v>1209359.2507861073</v>
      </c>
      <c r="O799" s="404">
        <f t="shared" si="163"/>
        <v>0</v>
      </c>
      <c r="P799" s="127">
        <f t="shared" si="164"/>
        <v>1209359.2507861073</v>
      </c>
    </row>
    <row r="800" spans="1:16" ht="15.75">
      <c r="A800" s="260"/>
      <c r="B800" s="450" t="s">
        <v>667</v>
      </c>
      <c r="C800" s="132" t="s">
        <v>668</v>
      </c>
      <c r="D800" s="129"/>
      <c r="E800" s="129"/>
      <c r="F800" s="130"/>
      <c r="G800" s="134" t="s">
        <v>663</v>
      </c>
      <c r="H800" s="120"/>
      <c r="I800" s="417"/>
      <c r="J800" s="120"/>
      <c r="K800" s="404"/>
      <c r="L800" s="120">
        <f t="shared" si="160"/>
        <v>0</v>
      </c>
      <c r="M800" s="120">
        <f t="shared" si="161"/>
        <v>0</v>
      </c>
      <c r="N800" s="120">
        <f t="shared" si="162"/>
        <v>0</v>
      </c>
      <c r="O800" s="404">
        <f t="shared" si="163"/>
        <v>0</v>
      </c>
      <c r="P800" s="127">
        <f t="shared" si="164"/>
        <v>0</v>
      </c>
    </row>
    <row r="801" spans="1:16" ht="19.149999999999999" customHeight="1" thickBot="1">
      <c r="A801" s="260"/>
      <c r="B801" s="451">
        <v>44.05</v>
      </c>
      <c r="C801" s="156" t="s">
        <v>669</v>
      </c>
      <c r="D801" s="159"/>
      <c r="E801" s="159"/>
      <c r="F801" s="143"/>
      <c r="G801" s="157" t="s">
        <v>663</v>
      </c>
      <c r="H801" s="158">
        <v>214.74</v>
      </c>
      <c r="I801" s="419">
        <v>5398.6831999999995</v>
      </c>
      <c r="J801" s="158">
        <v>1452</v>
      </c>
      <c r="K801" s="406"/>
      <c r="L801" s="120">
        <f t="shared" si="160"/>
        <v>1452</v>
      </c>
      <c r="M801" s="120">
        <f t="shared" si="161"/>
        <v>1159313.230368</v>
      </c>
      <c r="N801" s="120">
        <f t="shared" si="162"/>
        <v>311802.48000000004</v>
      </c>
      <c r="O801" s="404">
        <f t="shared" si="163"/>
        <v>0</v>
      </c>
      <c r="P801" s="127">
        <f t="shared" si="164"/>
        <v>311802.48000000004</v>
      </c>
    </row>
    <row r="802" spans="1:16" ht="24" customHeight="1" thickTop="1" thickBot="1">
      <c r="A802" s="260"/>
      <c r="B802" s="273"/>
      <c r="C802" s="266" t="s">
        <v>312</v>
      </c>
      <c r="D802" s="267"/>
      <c r="E802" s="267"/>
      <c r="F802" s="267"/>
      <c r="G802" s="268"/>
      <c r="H802" s="269"/>
      <c r="I802" s="426"/>
      <c r="J802" s="269"/>
      <c r="K802" s="443">
        <f>SUM(K792:K801)</f>
        <v>5271.8019999999997</v>
      </c>
      <c r="L802" s="270"/>
      <c r="M802" s="270">
        <f>SUM(M792:M801)</f>
        <v>3532987.378483329</v>
      </c>
      <c r="N802" s="270">
        <f>SUM(N792:N801)</f>
        <v>5212731.6658442281</v>
      </c>
      <c r="O802" s="443">
        <f>SUM(O792:O801)</f>
        <v>709204.28442690265</v>
      </c>
      <c r="P802" s="526">
        <f>O802+N802</f>
        <v>5921935.9502711305</v>
      </c>
    </row>
    <row r="803" spans="1:16" ht="17.25" customHeight="1" thickTop="1">
      <c r="A803" s="260"/>
      <c r="B803" s="118"/>
      <c r="C803" s="132"/>
      <c r="D803" s="129"/>
      <c r="E803" s="129"/>
      <c r="F803" s="130"/>
      <c r="G803" s="399"/>
      <c r="H803" s="120"/>
      <c r="I803" s="417"/>
      <c r="J803" s="120"/>
      <c r="K803" s="404"/>
      <c r="L803" s="120"/>
      <c r="M803" s="120"/>
      <c r="N803" s="120"/>
      <c r="O803" s="404"/>
      <c r="P803" s="127"/>
    </row>
    <row r="804" spans="1:16" ht="17.25" customHeight="1">
      <c r="A804" s="260"/>
      <c r="B804" s="146" t="s">
        <v>1043</v>
      </c>
      <c r="C804" s="128" t="s">
        <v>1040</v>
      </c>
      <c r="D804" s="129"/>
      <c r="E804" s="129"/>
      <c r="F804" s="130"/>
      <c r="G804" s="399"/>
      <c r="H804" s="120"/>
      <c r="I804" s="417"/>
      <c r="J804" s="120"/>
      <c r="K804" s="404"/>
      <c r="L804" s="120"/>
      <c r="M804" s="120"/>
      <c r="N804" s="120"/>
      <c r="O804" s="404"/>
      <c r="P804" s="127"/>
    </row>
    <row r="805" spans="1:16" ht="17.25" customHeight="1">
      <c r="A805" s="260"/>
      <c r="B805" s="118"/>
      <c r="C805" s="128" t="s">
        <v>1041</v>
      </c>
      <c r="D805" s="129"/>
      <c r="E805" s="129"/>
      <c r="F805" s="130"/>
      <c r="G805" s="399"/>
      <c r="H805" s="120"/>
      <c r="I805" s="417"/>
      <c r="J805" s="120"/>
      <c r="K805" s="404"/>
      <c r="L805" s="120"/>
      <c r="M805" s="120"/>
      <c r="N805" s="120"/>
      <c r="O805" s="404"/>
      <c r="P805" s="127"/>
    </row>
    <row r="806" spans="1:16" ht="17.25" customHeight="1">
      <c r="A806" s="260"/>
      <c r="B806" s="118">
        <v>1.1000000000000001</v>
      </c>
      <c r="C806" s="128" t="s">
        <v>1042</v>
      </c>
      <c r="D806" s="129"/>
      <c r="E806" s="129"/>
      <c r="F806" s="130"/>
      <c r="G806" s="399"/>
      <c r="H806" s="120"/>
      <c r="I806" s="417"/>
      <c r="J806" s="120"/>
      <c r="K806" s="404"/>
      <c r="L806" s="120"/>
      <c r="M806" s="120"/>
      <c r="N806" s="120"/>
      <c r="O806" s="404"/>
      <c r="P806" s="127"/>
    </row>
    <row r="807" spans="1:16" ht="17.25" customHeight="1">
      <c r="A807" s="260"/>
      <c r="B807" s="118" t="s">
        <v>290</v>
      </c>
      <c r="C807" s="132" t="s">
        <v>1044</v>
      </c>
      <c r="D807" s="129"/>
      <c r="E807" s="129"/>
      <c r="F807" s="130"/>
      <c r="G807" s="399"/>
      <c r="H807" s="120"/>
      <c r="I807" s="417"/>
      <c r="J807" s="120"/>
      <c r="K807" s="404"/>
      <c r="L807" s="120"/>
      <c r="M807" s="120"/>
      <c r="N807" s="120"/>
      <c r="O807" s="404"/>
      <c r="P807" s="127"/>
    </row>
    <row r="808" spans="1:16" ht="17.25" customHeight="1">
      <c r="A808" s="260"/>
      <c r="B808" s="118"/>
      <c r="C808" s="132" t="s">
        <v>1045</v>
      </c>
      <c r="D808" s="129"/>
      <c r="E808" s="129"/>
      <c r="F808" s="130"/>
      <c r="G808" s="399"/>
      <c r="H808" s="120"/>
      <c r="I808" s="417"/>
      <c r="J808" s="120"/>
      <c r="K808" s="404"/>
      <c r="L808" s="120"/>
      <c r="M808" s="120"/>
      <c r="N808" s="120"/>
      <c r="O808" s="404"/>
      <c r="P808" s="127"/>
    </row>
    <row r="809" spans="1:16" ht="17.25" customHeight="1">
      <c r="A809" s="260"/>
      <c r="B809" s="118"/>
      <c r="C809" s="132"/>
      <c r="D809" s="129"/>
      <c r="E809" s="129"/>
      <c r="F809" s="130"/>
      <c r="G809" s="399"/>
      <c r="H809" s="120"/>
      <c r="I809" s="417"/>
      <c r="J809" s="120"/>
      <c r="K809" s="404"/>
      <c r="L809" s="120">
        <f t="shared" ref="L809" si="165">J809+K809</f>
        <v>0</v>
      </c>
      <c r="M809" s="120">
        <f t="shared" ref="M809" si="166">H809*I809</f>
        <v>0</v>
      </c>
      <c r="N809" s="120">
        <f t="shared" ref="N809" si="167">H809*J809</f>
        <v>0</v>
      </c>
      <c r="O809" s="404">
        <f t="shared" ref="O809" si="168">H809*K809</f>
        <v>0</v>
      </c>
      <c r="P809" s="127">
        <f t="shared" ref="P809" si="169">H809*L809</f>
        <v>0</v>
      </c>
    </row>
    <row r="810" spans="1:16" ht="17.25" customHeight="1">
      <c r="A810" s="260"/>
      <c r="B810" s="118"/>
      <c r="C810" s="132" t="s">
        <v>1046</v>
      </c>
      <c r="D810" s="129"/>
      <c r="E810" s="129"/>
      <c r="F810" s="130"/>
      <c r="G810" s="399" t="s">
        <v>592</v>
      </c>
      <c r="H810" s="120">
        <v>253.63</v>
      </c>
      <c r="I810" s="417">
        <v>50</v>
      </c>
      <c r="J810" s="120"/>
      <c r="K810" s="404">
        <f>'SA5 Additional Sani Works '!J15</f>
        <v>0</v>
      </c>
      <c r="L810" s="120">
        <f t="shared" ref="L810:L833" si="170">J810+K810</f>
        <v>0</v>
      </c>
      <c r="M810" s="120">
        <f t="shared" ref="M810:M834" si="171">H810*I810</f>
        <v>12681.5</v>
      </c>
      <c r="N810" s="120">
        <f t="shared" ref="N810:N833" si="172">H810*J810</f>
        <v>0</v>
      </c>
      <c r="O810" s="404">
        <f t="shared" ref="O810:O834" si="173">H810*K810</f>
        <v>0</v>
      </c>
      <c r="P810" s="127">
        <f t="shared" ref="P810:P833" si="174">H810*L810</f>
        <v>0</v>
      </c>
    </row>
    <row r="811" spans="1:16" ht="17.25" customHeight="1">
      <c r="A811" s="260"/>
      <c r="B811" s="118"/>
      <c r="C811" s="132" t="s">
        <v>1047</v>
      </c>
      <c r="D811" s="129"/>
      <c r="E811" s="129"/>
      <c r="F811" s="130"/>
      <c r="G811" s="399" t="s">
        <v>592</v>
      </c>
      <c r="H811" s="120">
        <v>306.26</v>
      </c>
      <c r="I811" s="417">
        <v>171</v>
      </c>
      <c r="J811" s="120">
        <f>54*0.4</f>
        <v>21.6</v>
      </c>
      <c r="K811" s="404">
        <f>'SA5 Additional Sani Works '!J17</f>
        <v>0</v>
      </c>
      <c r="L811" s="120">
        <f t="shared" si="170"/>
        <v>21.6</v>
      </c>
      <c r="M811" s="120">
        <f t="shared" si="171"/>
        <v>52370.46</v>
      </c>
      <c r="N811" s="120">
        <f t="shared" si="172"/>
        <v>6615.2160000000003</v>
      </c>
      <c r="O811" s="404">
        <f t="shared" si="173"/>
        <v>0</v>
      </c>
      <c r="P811" s="127">
        <f t="shared" si="174"/>
        <v>6615.2160000000003</v>
      </c>
    </row>
    <row r="812" spans="1:16" ht="17.25" customHeight="1">
      <c r="A812" s="260"/>
      <c r="B812" s="118"/>
      <c r="C812" s="132" t="s">
        <v>1048</v>
      </c>
      <c r="D812" s="129"/>
      <c r="E812" s="129"/>
      <c r="F812" s="130"/>
      <c r="G812" s="399" t="s">
        <v>592</v>
      </c>
      <c r="H812" s="120">
        <v>846.34</v>
      </c>
      <c r="I812" s="417">
        <v>118</v>
      </c>
      <c r="J812" s="120">
        <v>152.32</v>
      </c>
      <c r="K812" s="404"/>
      <c r="L812" s="120">
        <f t="shared" si="170"/>
        <v>152.32</v>
      </c>
      <c r="M812" s="120">
        <f t="shared" si="171"/>
        <v>99868.12000000001</v>
      </c>
      <c r="N812" s="120">
        <f t="shared" si="172"/>
        <v>128914.5088</v>
      </c>
      <c r="O812" s="404">
        <f t="shared" si="173"/>
        <v>0</v>
      </c>
      <c r="P812" s="127">
        <f t="shared" si="174"/>
        <v>128914.5088</v>
      </c>
    </row>
    <row r="813" spans="1:16" ht="17.25" customHeight="1">
      <c r="A813" s="260"/>
      <c r="B813" s="118"/>
      <c r="C813" s="132" t="s">
        <v>1049</v>
      </c>
      <c r="D813" s="129"/>
      <c r="E813" s="129"/>
      <c r="F813" s="130"/>
      <c r="G813" s="399" t="s">
        <v>592</v>
      </c>
      <c r="H813" s="120">
        <v>1806.29</v>
      </c>
      <c r="I813" s="417">
        <v>1603</v>
      </c>
      <c r="J813" s="120">
        <v>1610.56</v>
      </c>
      <c r="K813" s="404"/>
      <c r="L813" s="120">
        <f t="shared" si="170"/>
        <v>1610.56</v>
      </c>
      <c r="M813" s="120">
        <f t="shared" si="171"/>
        <v>2895482.87</v>
      </c>
      <c r="N813" s="120">
        <f t="shared" si="172"/>
        <v>2909138.4224</v>
      </c>
      <c r="O813" s="404">
        <f t="shared" si="173"/>
        <v>0</v>
      </c>
      <c r="P813" s="127">
        <f t="shared" si="174"/>
        <v>2909138.4224</v>
      </c>
    </row>
    <row r="814" spans="1:16" ht="17.25" customHeight="1">
      <c r="A814" s="260"/>
      <c r="B814" s="118"/>
      <c r="C814" s="132" t="s">
        <v>1050</v>
      </c>
      <c r="D814" s="129"/>
      <c r="E814" s="129"/>
      <c r="F814" s="130"/>
      <c r="G814" s="399" t="s">
        <v>592</v>
      </c>
      <c r="H814" s="120">
        <v>3562.15</v>
      </c>
      <c r="I814" s="417">
        <v>98</v>
      </c>
      <c r="J814" s="120">
        <f>32.4*0.4+106</f>
        <v>118.96000000000001</v>
      </c>
      <c r="K814" s="404">
        <v>0</v>
      </c>
      <c r="L814" s="120">
        <f t="shared" si="170"/>
        <v>118.96000000000001</v>
      </c>
      <c r="M814" s="120">
        <f t="shared" si="171"/>
        <v>349090.7</v>
      </c>
      <c r="N814" s="120">
        <f t="shared" si="172"/>
        <v>423753.36400000006</v>
      </c>
      <c r="O814" s="404">
        <f t="shared" si="173"/>
        <v>0</v>
      </c>
      <c r="P814" s="127">
        <f t="shared" si="174"/>
        <v>423753.36400000006</v>
      </c>
    </row>
    <row r="815" spans="1:16" ht="17.25" customHeight="1">
      <c r="A815" s="260"/>
      <c r="B815" s="118"/>
      <c r="C815" s="132"/>
      <c r="D815" s="129"/>
      <c r="E815" s="129"/>
      <c r="F815" s="130"/>
      <c r="G815" s="399"/>
      <c r="H815" s="120"/>
      <c r="I815" s="417"/>
      <c r="J815" s="120"/>
      <c r="K815" s="404"/>
      <c r="L815" s="120">
        <f t="shared" si="170"/>
        <v>0</v>
      </c>
      <c r="M815" s="120">
        <f t="shared" si="171"/>
        <v>0</v>
      </c>
      <c r="N815" s="120">
        <f t="shared" si="172"/>
        <v>0</v>
      </c>
      <c r="O815" s="404">
        <f t="shared" si="173"/>
        <v>0</v>
      </c>
      <c r="P815" s="127">
        <f t="shared" si="174"/>
        <v>0</v>
      </c>
    </row>
    <row r="816" spans="1:16" ht="17.25" customHeight="1">
      <c r="A816" s="260"/>
      <c r="B816" s="118" t="s">
        <v>291</v>
      </c>
      <c r="C816" s="132" t="s">
        <v>1051</v>
      </c>
      <c r="D816" s="129"/>
      <c r="E816" s="129"/>
      <c r="F816" s="130"/>
      <c r="G816" s="399"/>
      <c r="H816" s="120"/>
      <c r="I816" s="417"/>
      <c r="J816" s="120"/>
      <c r="K816" s="404"/>
      <c r="L816" s="120">
        <f t="shared" si="170"/>
        <v>0</v>
      </c>
      <c r="M816" s="120">
        <f t="shared" si="171"/>
        <v>0</v>
      </c>
      <c r="N816" s="120">
        <f t="shared" si="172"/>
        <v>0</v>
      </c>
      <c r="O816" s="404">
        <f t="shared" si="173"/>
        <v>0</v>
      </c>
      <c r="P816" s="127">
        <f t="shared" si="174"/>
        <v>0</v>
      </c>
    </row>
    <row r="817" spans="1:16" ht="17.25" customHeight="1">
      <c r="A817" s="260"/>
      <c r="B817" s="118"/>
      <c r="C817" s="132"/>
      <c r="D817" s="129"/>
      <c r="E817" s="129"/>
      <c r="F817" s="130"/>
      <c r="G817" s="399"/>
      <c r="H817" s="120"/>
      <c r="I817" s="417"/>
      <c r="J817" s="120"/>
      <c r="K817" s="404"/>
      <c r="L817" s="120">
        <f t="shared" si="170"/>
        <v>0</v>
      </c>
      <c r="M817" s="120">
        <f t="shared" si="171"/>
        <v>0</v>
      </c>
      <c r="N817" s="120">
        <f t="shared" si="172"/>
        <v>0</v>
      </c>
      <c r="O817" s="404">
        <f t="shared" si="173"/>
        <v>0</v>
      </c>
      <c r="P817" s="127">
        <f t="shared" si="174"/>
        <v>0</v>
      </c>
    </row>
    <row r="818" spans="1:16" ht="17.25" customHeight="1">
      <c r="A818" s="260"/>
      <c r="B818" s="118"/>
      <c r="C818" s="132" t="s">
        <v>1046</v>
      </c>
      <c r="D818" s="129"/>
      <c r="E818" s="129"/>
      <c r="F818" s="130"/>
      <c r="G818" s="399" t="s">
        <v>592</v>
      </c>
      <c r="H818" s="120">
        <v>266.31</v>
      </c>
      <c r="I818" s="417">
        <v>66</v>
      </c>
      <c r="J818" s="120"/>
      <c r="K818" s="404">
        <f>'SA5 Additional Sani Works '!J87</f>
        <v>65</v>
      </c>
      <c r="L818" s="120">
        <f t="shared" si="170"/>
        <v>65</v>
      </c>
      <c r="M818" s="120">
        <f t="shared" si="171"/>
        <v>17576.46</v>
      </c>
      <c r="N818" s="120">
        <f t="shared" si="172"/>
        <v>0</v>
      </c>
      <c r="O818" s="404">
        <f t="shared" si="173"/>
        <v>17310.150000000001</v>
      </c>
      <c r="P818" s="127">
        <f t="shared" si="174"/>
        <v>17310.150000000001</v>
      </c>
    </row>
    <row r="819" spans="1:16" ht="15.75" customHeight="1">
      <c r="A819" s="260"/>
      <c r="B819" s="118"/>
      <c r="C819" s="132" t="s">
        <v>1047</v>
      </c>
      <c r="D819" s="129"/>
      <c r="E819" s="129"/>
      <c r="F819" s="130"/>
      <c r="G819" s="399" t="s">
        <v>592</v>
      </c>
      <c r="H819" s="120">
        <v>321.57</v>
      </c>
      <c r="I819" s="417">
        <v>16</v>
      </c>
      <c r="J819" s="120">
        <v>7.2</v>
      </c>
      <c r="K819" s="404">
        <v>0</v>
      </c>
      <c r="L819" s="120">
        <f t="shared" si="170"/>
        <v>7.2</v>
      </c>
      <c r="M819" s="120">
        <f t="shared" si="171"/>
        <v>5145.12</v>
      </c>
      <c r="N819" s="120">
        <f t="shared" si="172"/>
        <v>2315.3040000000001</v>
      </c>
      <c r="O819" s="404">
        <f t="shared" si="173"/>
        <v>0</v>
      </c>
      <c r="P819" s="127">
        <f t="shared" si="174"/>
        <v>2315.3040000000001</v>
      </c>
    </row>
    <row r="820" spans="1:16" ht="17.25" customHeight="1">
      <c r="A820" s="260"/>
      <c r="B820" s="118"/>
      <c r="C820" s="132" t="s">
        <v>1048</v>
      </c>
      <c r="D820" s="129"/>
      <c r="E820" s="129"/>
      <c r="F820" s="130"/>
      <c r="G820" s="399" t="s">
        <v>592</v>
      </c>
      <c r="H820" s="120">
        <v>889.17</v>
      </c>
      <c r="I820" s="417">
        <v>1098</v>
      </c>
      <c r="J820" s="120">
        <v>391</v>
      </c>
      <c r="K820" s="404"/>
      <c r="L820" s="120">
        <f t="shared" si="170"/>
        <v>391</v>
      </c>
      <c r="M820" s="120">
        <f t="shared" si="171"/>
        <v>976308.65999999992</v>
      </c>
      <c r="N820" s="120">
        <f t="shared" si="172"/>
        <v>347665.47</v>
      </c>
      <c r="O820" s="404">
        <f t="shared" si="173"/>
        <v>0</v>
      </c>
      <c r="P820" s="127">
        <f t="shared" si="174"/>
        <v>347665.47</v>
      </c>
    </row>
    <row r="821" spans="1:16" ht="17.25" customHeight="1">
      <c r="A821" s="260"/>
      <c r="B821" s="118"/>
      <c r="C821" s="132"/>
      <c r="D821" s="129"/>
      <c r="E821" s="129"/>
      <c r="F821" s="130"/>
      <c r="G821" s="399"/>
      <c r="H821" s="120"/>
      <c r="I821" s="417"/>
      <c r="J821" s="120"/>
      <c r="K821" s="404"/>
      <c r="L821" s="120">
        <f t="shared" si="170"/>
        <v>0</v>
      </c>
      <c r="M821" s="120">
        <f t="shared" si="171"/>
        <v>0</v>
      </c>
      <c r="N821" s="120">
        <f t="shared" si="172"/>
        <v>0</v>
      </c>
      <c r="O821" s="404">
        <f t="shared" si="173"/>
        <v>0</v>
      </c>
      <c r="P821" s="127">
        <f t="shared" si="174"/>
        <v>0</v>
      </c>
    </row>
    <row r="822" spans="1:16" ht="17.25" customHeight="1">
      <c r="A822" s="260"/>
      <c r="B822" s="118" t="s">
        <v>292</v>
      </c>
      <c r="C822" s="132" t="s">
        <v>1052</v>
      </c>
      <c r="D822" s="129"/>
      <c r="E822" s="129"/>
      <c r="F822" s="130"/>
      <c r="G822" s="399"/>
      <c r="H822" s="120"/>
      <c r="I822" s="417"/>
      <c r="J822" s="120"/>
      <c r="K822" s="404"/>
      <c r="L822" s="120">
        <f t="shared" si="170"/>
        <v>0</v>
      </c>
      <c r="M822" s="120">
        <f t="shared" si="171"/>
        <v>0</v>
      </c>
      <c r="N822" s="120">
        <f t="shared" si="172"/>
        <v>0</v>
      </c>
      <c r="O822" s="404">
        <f t="shared" si="173"/>
        <v>0</v>
      </c>
      <c r="P822" s="127">
        <f t="shared" si="174"/>
        <v>0</v>
      </c>
    </row>
    <row r="823" spans="1:16" ht="17.25" customHeight="1">
      <c r="A823" s="260"/>
      <c r="B823" s="118"/>
      <c r="C823" s="132" t="s">
        <v>1053</v>
      </c>
      <c r="D823" s="129"/>
      <c r="E823" s="129"/>
      <c r="F823" s="130"/>
      <c r="G823" s="399"/>
      <c r="H823" s="120"/>
      <c r="I823" s="417"/>
      <c r="J823" s="120"/>
      <c r="K823" s="404"/>
      <c r="L823" s="120">
        <f t="shared" si="170"/>
        <v>0</v>
      </c>
      <c r="M823" s="120">
        <f t="shared" si="171"/>
        <v>0</v>
      </c>
      <c r="N823" s="120">
        <f t="shared" si="172"/>
        <v>0</v>
      </c>
      <c r="O823" s="404">
        <f t="shared" si="173"/>
        <v>0</v>
      </c>
      <c r="P823" s="127">
        <f t="shared" si="174"/>
        <v>0</v>
      </c>
    </row>
    <row r="824" spans="1:16" ht="17.25" customHeight="1">
      <c r="A824" s="260"/>
      <c r="B824" s="118"/>
      <c r="C824" s="132" t="s">
        <v>1054</v>
      </c>
      <c r="D824" s="129"/>
      <c r="E824" s="129"/>
      <c r="F824" s="130"/>
      <c r="G824" s="399"/>
      <c r="H824" s="120"/>
      <c r="I824" s="417"/>
      <c r="J824" s="120"/>
      <c r="K824" s="404"/>
      <c r="L824" s="120">
        <f t="shared" si="170"/>
        <v>0</v>
      </c>
      <c r="M824" s="120">
        <f t="shared" si="171"/>
        <v>0</v>
      </c>
      <c r="N824" s="120">
        <f t="shared" si="172"/>
        <v>0</v>
      </c>
      <c r="O824" s="404">
        <f t="shared" si="173"/>
        <v>0</v>
      </c>
      <c r="P824" s="127">
        <f t="shared" si="174"/>
        <v>0</v>
      </c>
    </row>
    <row r="825" spans="1:16" ht="15" customHeight="1">
      <c r="A825" s="260"/>
      <c r="B825" s="118"/>
      <c r="C825" s="132"/>
      <c r="D825" s="129"/>
      <c r="E825" s="129"/>
      <c r="F825" s="130"/>
      <c r="G825" s="399"/>
      <c r="H825" s="120"/>
      <c r="I825" s="417"/>
      <c r="J825" s="120"/>
      <c r="K825" s="404"/>
      <c r="L825" s="120">
        <f t="shared" si="170"/>
        <v>0</v>
      </c>
      <c r="M825" s="120">
        <f t="shared" si="171"/>
        <v>0</v>
      </c>
      <c r="N825" s="120">
        <f t="shared" si="172"/>
        <v>0</v>
      </c>
      <c r="O825" s="404">
        <f t="shared" si="173"/>
        <v>0</v>
      </c>
      <c r="P825" s="127">
        <f t="shared" si="174"/>
        <v>0</v>
      </c>
    </row>
    <row r="826" spans="1:16" ht="17.25" customHeight="1">
      <c r="A826" s="260"/>
      <c r="B826" s="118"/>
      <c r="C826" s="132" t="s">
        <v>1055</v>
      </c>
      <c r="D826" s="129"/>
      <c r="E826" s="129"/>
      <c r="F826" s="130"/>
      <c r="G826" s="399" t="s">
        <v>592</v>
      </c>
      <c r="H826" s="120">
        <v>534.03</v>
      </c>
      <c r="I826" s="417">
        <v>700</v>
      </c>
      <c r="J826" s="120">
        <v>35.4</v>
      </c>
      <c r="K826" s="404">
        <f>'SA5 Additional Sani Works '!J114</f>
        <v>400</v>
      </c>
      <c r="L826" s="120">
        <f t="shared" si="170"/>
        <v>435.4</v>
      </c>
      <c r="M826" s="120">
        <f t="shared" si="171"/>
        <v>373821</v>
      </c>
      <c r="N826" s="120">
        <f t="shared" si="172"/>
        <v>18904.661999999997</v>
      </c>
      <c r="O826" s="404">
        <f t="shared" si="173"/>
        <v>213612</v>
      </c>
      <c r="P826" s="127">
        <f t="shared" si="174"/>
        <v>232516.66199999998</v>
      </c>
    </row>
    <row r="827" spans="1:16" ht="17.25" customHeight="1">
      <c r="A827" s="260"/>
      <c r="B827" s="118"/>
      <c r="C827" s="132"/>
      <c r="D827" s="129"/>
      <c r="E827" s="129"/>
      <c r="F827" s="130"/>
      <c r="G827" s="399"/>
      <c r="H827" s="120"/>
      <c r="I827" s="417"/>
      <c r="J827" s="120"/>
      <c r="K827" s="404"/>
      <c r="L827" s="120">
        <f t="shared" si="170"/>
        <v>0</v>
      </c>
      <c r="M827" s="120">
        <f t="shared" si="171"/>
        <v>0</v>
      </c>
      <c r="N827" s="120">
        <f t="shared" si="172"/>
        <v>0</v>
      </c>
      <c r="O827" s="404">
        <f t="shared" si="173"/>
        <v>0</v>
      </c>
      <c r="P827" s="127">
        <f t="shared" si="174"/>
        <v>0</v>
      </c>
    </row>
    <row r="828" spans="1:16" ht="17.25" customHeight="1">
      <c r="A828" s="260"/>
      <c r="B828" s="1467" t="s">
        <v>293</v>
      </c>
      <c r="C828" s="132" t="s">
        <v>1056</v>
      </c>
      <c r="D828" s="129"/>
      <c r="E828" s="129"/>
      <c r="F828" s="130"/>
      <c r="G828" s="399"/>
      <c r="H828" s="120"/>
      <c r="I828" s="417"/>
      <c r="J828" s="120"/>
      <c r="K828" s="404"/>
      <c r="L828" s="120">
        <f t="shared" si="170"/>
        <v>0</v>
      </c>
      <c r="M828" s="120">
        <f t="shared" si="171"/>
        <v>0</v>
      </c>
      <c r="N828" s="120">
        <f t="shared" si="172"/>
        <v>0</v>
      </c>
      <c r="O828" s="404">
        <f t="shared" si="173"/>
        <v>0</v>
      </c>
      <c r="P828" s="127">
        <f t="shared" si="174"/>
        <v>0</v>
      </c>
    </row>
    <row r="829" spans="1:16" ht="17.25" customHeight="1">
      <c r="A829" s="260"/>
      <c r="B829" s="1468"/>
      <c r="C829" s="132"/>
      <c r="D829" s="129"/>
      <c r="E829" s="129"/>
      <c r="F829" s="130"/>
      <c r="G829" s="399"/>
      <c r="H829" s="120"/>
      <c r="I829" s="417"/>
      <c r="J829" s="120"/>
      <c r="K829" s="404"/>
      <c r="L829" s="120">
        <f t="shared" si="170"/>
        <v>0</v>
      </c>
      <c r="M829" s="120">
        <f t="shared" si="171"/>
        <v>0</v>
      </c>
      <c r="N829" s="120">
        <f t="shared" si="172"/>
        <v>0</v>
      </c>
      <c r="O829" s="404">
        <f t="shared" si="173"/>
        <v>0</v>
      </c>
      <c r="P829" s="127">
        <f t="shared" si="174"/>
        <v>0</v>
      </c>
    </row>
    <row r="830" spans="1:16" ht="17.25" customHeight="1">
      <c r="A830" s="260"/>
      <c r="B830" s="1468"/>
      <c r="C830" s="132" t="s">
        <v>1057</v>
      </c>
      <c r="D830" s="129"/>
      <c r="E830" s="129"/>
      <c r="F830" s="130"/>
      <c r="G830" s="399"/>
      <c r="H830" s="120"/>
      <c r="I830" s="417"/>
      <c r="J830" s="120"/>
      <c r="K830" s="404"/>
      <c r="L830" s="120">
        <f t="shared" si="170"/>
        <v>0</v>
      </c>
      <c r="M830" s="120">
        <f t="shared" si="171"/>
        <v>0</v>
      </c>
      <c r="N830" s="120">
        <f t="shared" si="172"/>
        <v>0</v>
      </c>
      <c r="O830" s="404">
        <f t="shared" si="173"/>
        <v>0</v>
      </c>
      <c r="P830" s="127">
        <f t="shared" si="174"/>
        <v>0</v>
      </c>
    </row>
    <row r="831" spans="1:16" ht="17.25" customHeight="1">
      <c r="A831" s="260"/>
      <c r="B831" s="1468"/>
      <c r="C831" s="132" t="s">
        <v>1058</v>
      </c>
      <c r="D831" s="129"/>
      <c r="E831" s="129"/>
      <c r="F831" s="130"/>
      <c r="G831" s="399"/>
      <c r="H831" s="120"/>
      <c r="I831" s="417"/>
      <c r="J831" s="120"/>
      <c r="K831" s="404"/>
      <c r="L831" s="120">
        <f t="shared" si="170"/>
        <v>0</v>
      </c>
      <c r="M831" s="120">
        <f t="shared" si="171"/>
        <v>0</v>
      </c>
      <c r="N831" s="120">
        <f t="shared" si="172"/>
        <v>0</v>
      </c>
      <c r="O831" s="404">
        <f t="shared" si="173"/>
        <v>0</v>
      </c>
      <c r="P831" s="127">
        <f t="shared" si="174"/>
        <v>0</v>
      </c>
    </row>
    <row r="832" spans="1:16" ht="17.25" customHeight="1">
      <c r="A832" s="260"/>
      <c r="B832" s="1468"/>
      <c r="C832" s="132" t="s">
        <v>1059</v>
      </c>
      <c r="D832" s="129"/>
      <c r="E832" s="129"/>
      <c r="F832" s="130"/>
      <c r="G832" s="399"/>
      <c r="H832" s="120"/>
      <c r="I832" s="417"/>
      <c r="J832" s="120"/>
      <c r="K832" s="404"/>
      <c r="L832" s="120">
        <f t="shared" si="170"/>
        <v>0</v>
      </c>
      <c r="M832" s="120">
        <f t="shared" si="171"/>
        <v>0</v>
      </c>
      <c r="N832" s="120">
        <f t="shared" si="172"/>
        <v>0</v>
      </c>
      <c r="O832" s="404">
        <f t="shared" si="173"/>
        <v>0</v>
      </c>
      <c r="P832" s="127">
        <f t="shared" si="174"/>
        <v>0</v>
      </c>
    </row>
    <row r="833" spans="1:17" ht="17.25" customHeight="1">
      <c r="A833" s="260"/>
      <c r="B833" s="1468"/>
      <c r="C833" s="132"/>
      <c r="D833" s="129"/>
      <c r="E833" s="129"/>
      <c r="F833" s="130"/>
      <c r="G833" s="399"/>
      <c r="H833" s="120"/>
      <c r="I833" s="417"/>
      <c r="J833" s="120"/>
      <c r="K833" s="404"/>
      <c r="L833" s="120">
        <f t="shared" si="170"/>
        <v>0</v>
      </c>
      <c r="M833" s="120">
        <f t="shared" si="171"/>
        <v>0</v>
      </c>
      <c r="N833" s="120">
        <f t="shared" si="172"/>
        <v>0</v>
      </c>
      <c r="O833" s="404">
        <f t="shared" si="173"/>
        <v>0</v>
      </c>
      <c r="P833" s="127">
        <f t="shared" si="174"/>
        <v>0</v>
      </c>
    </row>
    <row r="834" spans="1:17" ht="16.5" customHeight="1">
      <c r="A834" s="260"/>
      <c r="B834" s="1468"/>
      <c r="C834" s="132" t="s">
        <v>1048</v>
      </c>
      <c r="D834" s="129"/>
      <c r="E834" s="129"/>
      <c r="F834" s="130"/>
      <c r="G834" s="399" t="s">
        <v>592</v>
      </c>
      <c r="H834" s="120">
        <v>941.25</v>
      </c>
      <c r="I834" s="417">
        <v>352</v>
      </c>
      <c r="J834" s="120">
        <v>180</v>
      </c>
      <c r="K834" s="404">
        <f>'SA5 Additional Sani Works '!J96</f>
        <v>132</v>
      </c>
      <c r="L834" s="120">
        <f>J834+K834</f>
        <v>312</v>
      </c>
      <c r="M834" s="120">
        <f t="shared" si="171"/>
        <v>331320</v>
      </c>
      <c r="N834" s="120">
        <f>H834*J834</f>
        <v>169425</v>
      </c>
      <c r="O834" s="404">
        <f t="shared" si="173"/>
        <v>124245</v>
      </c>
      <c r="P834" s="127">
        <f>H834*L834</f>
        <v>293670</v>
      </c>
    </row>
    <row r="835" spans="1:17" ht="16.5" customHeight="1">
      <c r="A835" s="260"/>
      <c r="B835" s="1469"/>
      <c r="C835" s="132"/>
      <c r="D835" s="129"/>
      <c r="E835" s="129"/>
      <c r="F835" s="130"/>
      <c r="G835" s="399"/>
      <c r="H835" s="120"/>
      <c r="I835" s="417"/>
      <c r="J835" s="120"/>
      <c r="K835" s="404"/>
      <c r="L835" s="120"/>
      <c r="M835" s="120"/>
      <c r="N835" s="120"/>
      <c r="O835" s="404"/>
      <c r="P835" s="127"/>
    </row>
    <row r="836" spans="1:17" ht="67.5" customHeight="1">
      <c r="A836" s="260"/>
      <c r="B836" s="1045">
        <v>1.2</v>
      </c>
      <c r="C836" s="1494" t="s">
        <v>1179</v>
      </c>
      <c r="D836" s="1495"/>
      <c r="E836" s="1495"/>
      <c r="F836" s="1495"/>
      <c r="G836" s="1044" t="s">
        <v>1183</v>
      </c>
      <c r="H836" s="120">
        <v>263.18</v>
      </c>
      <c r="I836" s="417">
        <v>5700</v>
      </c>
      <c r="J836" s="120">
        <v>5800</v>
      </c>
      <c r="K836" s="404"/>
      <c r="L836" s="120">
        <f>J836+K836</f>
        <v>5800</v>
      </c>
      <c r="M836" s="120">
        <f>H836*I836</f>
        <v>1500126</v>
      </c>
      <c r="N836" s="120">
        <f>H836*J836</f>
        <v>1526444</v>
      </c>
      <c r="O836" s="404">
        <f>H836*K836</f>
        <v>0</v>
      </c>
      <c r="P836" s="127">
        <f>H836*L836</f>
        <v>1526444</v>
      </c>
      <c r="Q836" s="328"/>
    </row>
    <row r="837" spans="1:17" ht="71.25" customHeight="1">
      <c r="A837" s="260"/>
      <c r="B837" s="1045">
        <v>1.3</v>
      </c>
      <c r="C837" s="1494" t="s">
        <v>1181</v>
      </c>
      <c r="D837" s="1495"/>
      <c r="E837" s="1495"/>
      <c r="F837" s="1495"/>
      <c r="G837" s="1044" t="s">
        <v>1183</v>
      </c>
      <c r="H837" s="120">
        <v>333.35</v>
      </c>
      <c r="I837" s="417">
        <v>2850</v>
      </c>
      <c r="J837" s="120">
        <v>2900</v>
      </c>
      <c r="K837" s="404"/>
      <c r="L837" s="120">
        <f t="shared" ref="L837" si="175">J837+K837</f>
        <v>2900</v>
      </c>
      <c r="M837" s="120">
        <f>H837*I837</f>
        <v>950047.50000000012</v>
      </c>
      <c r="N837" s="120">
        <f>H837*J837</f>
        <v>966715.00000000012</v>
      </c>
      <c r="O837" s="404">
        <f>H837*K837</f>
        <v>0</v>
      </c>
      <c r="P837" s="127">
        <f>H837*L837</f>
        <v>966715.00000000012</v>
      </c>
    </row>
    <row r="838" spans="1:17" ht="71.25" customHeight="1" thickBot="1">
      <c r="A838" s="260"/>
      <c r="B838" s="1045">
        <v>1.4</v>
      </c>
      <c r="C838" s="1494" t="s">
        <v>1201</v>
      </c>
      <c r="D838" s="1495"/>
      <c r="E838" s="1495"/>
      <c r="F838" s="1495"/>
      <c r="G838" s="1044" t="s">
        <v>190</v>
      </c>
      <c r="H838" s="120">
        <v>6025.74</v>
      </c>
      <c r="I838" s="417">
        <v>36</v>
      </c>
      <c r="J838" s="120">
        <v>34</v>
      </c>
      <c r="K838" s="404"/>
      <c r="L838" s="120">
        <f t="shared" ref="L838" si="176">J838+K838</f>
        <v>34</v>
      </c>
      <c r="M838" s="120">
        <f>H838*I838</f>
        <v>216926.63999999998</v>
      </c>
      <c r="N838" s="120">
        <f>H838*J838</f>
        <v>204875.16</v>
      </c>
      <c r="O838" s="404">
        <f>H838*K838</f>
        <v>0</v>
      </c>
      <c r="P838" s="127">
        <f>H838*L838</f>
        <v>204875.16</v>
      </c>
    </row>
    <row r="839" spans="1:17" ht="24" customHeight="1" thickTop="1" thickBot="1">
      <c r="A839" s="260"/>
      <c r="B839" s="273"/>
      <c r="C839" s="266" t="s">
        <v>312</v>
      </c>
      <c r="D839" s="267"/>
      <c r="E839" s="267"/>
      <c r="F839" s="267"/>
      <c r="G839" s="268"/>
      <c r="H839" s="269"/>
      <c r="I839" s="426"/>
      <c r="J839" s="269"/>
      <c r="K839" s="443"/>
      <c r="L839" s="270"/>
      <c r="M839" s="270">
        <v>7820272.5899999999</v>
      </c>
      <c r="N839" s="270">
        <f>N838+N837+N836+N834+N826+N820+N819+N814+N813+N812+N811</f>
        <v>6704766.1072000004</v>
      </c>
      <c r="O839" s="443">
        <f>SUM(O804:O838)</f>
        <v>355167.15</v>
      </c>
      <c r="P839" s="526">
        <f>O839+N839</f>
        <v>7059933.2572000008</v>
      </c>
    </row>
    <row r="840" spans="1:17" ht="32.25" customHeight="1" thickTop="1">
      <c r="A840" s="260"/>
      <c r="B840" s="1045"/>
      <c r="C840" s="1502" t="s">
        <v>1252</v>
      </c>
      <c r="D840" s="1503"/>
      <c r="E840" s="1503"/>
      <c r="F840" s="1503"/>
      <c r="G840" s="1044"/>
      <c r="H840" s="120"/>
      <c r="I840" s="417"/>
      <c r="J840" s="120"/>
      <c r="K840" s="404"/>
      <c r="L840" s="120"/>
      <c r="M840" s="120"/>
      <c r="N840" s="120"/>
      <c r="O840" s="404"/>
      <c r="P840" s="127">
        <f>H840*L840</f>
        <v>0</v>
      </c>
    </row>
    <row r="841" spans="1:17" ht="27.75" customHeight="1">
      <c r="A841" s="260"/>
      <c r="B841" s="1045">
        <v>1</v>
      </c>
      <c r="C841" s="1494" t="s">
        <v>1253</v>
      </c>
      <c r="D841" s="1495"/>
      <c r="E841" s="1495"/>
      <c r="F841" s="1495"/>
      <c r="G841" s="1044"/>
      <c r="H841" s="120"/>
      <c r="I841" s="417"/>
      <c r="J841" s="120"/>
      <c r="K841" s="404"/>
      <c r="L841" s="120"/>
      <c r="M841" s="120"/>
      <c r="N841" s="120"/>
      <c r="O841" s="404"/>
      <c r="P841" s="127">
        <f>H841*L841</f>
        <v>0</v>
      </c>
    </row>
    <row r="842" spans="1:17" ht="31.5" customHeight="1">
      <c r="A842" s="260"/>
      <c r="B842" s="1045">
        <v>1.1000000000000001</v>
      </c>
      <c r="C842" s="1494" t="s">
        <v>1254</v>
      </c>
      <c r="D842" s="1495"/>
      <c r="E842" s="1495"/>
      <c r="F842" s="1495"/>
      <c r="G842" s="1044"/>
      <c r="H842" s="120"/>
      <c r="I842" s="417"/>
      <c r="J842" s="120"/>
      <c r="K842" s="404"/>
      <c r="L842" s="120"/>
      <c r="M842" s="120"/>
      <c r="N842" s="120"/>
      <c r="O842" s="404"/>
      <c r="P842" s="127">
        <f>H842*L842</f>
        <v>0</v>
      </c>
    </row>
    <row r="843" spans="1:17" ht="42.75" customHeight="1">
      <c r="A843" s="260"/>
      <c r="B843" s="1045"/>
      <c r="C843" s="1494" t="s">
        <v>1255</v>
      </c>
      <c r="D843" s="1495"/>
      <c r="E843" s="1495"/>
      <c r="F843" s="1495"/>
      <c r="G843" s="1044" t="s">
        <v>484</v>
      </c>
      <c r="H843" s="120">
        <v>268.5</v>
      </c>
      <c r="I843" s="417">
        <v>210</v>
      </c>
      <c r="J843" s="120">
        <v>210</v>
      </c>
      <c r="K843" s="404">
        <f>'SA5 Additional Sani Works '!J103</f>
        <v>150</v>
      </c>
      <c r="L843" s="120">
        <f t="shared" ref="L843" si="177">J843+K843</f>
        <v>360</v>
      </c>
      <c r="M843" s="120">
        <f>H843*I843</f>
        <v>56385</v>
      </c>
      <c r="N843" s="120">
        <f>H843*J843</f>
        <v>56385</v>
      </c>
      <c r="O843" s="404">
        <f>H843*K843</f>
        <v>40275</v>
      </c>
      <c r="P843" s="127">
        <f>H843*L843</f>
        <v>96660</v>
      </c>
    </row>
    <row r="844" spans="1:17" ht="42.75" customHeight="1">
      <c r="A844" s="260"/>
      <c r="B844" s="1045">
        <v>3</v>
      </c>
      <c r="C844" s="1494" t="s">
        <v>1256</v>
      </c>
      <c r="D844" s="1495"/>
      <c r="E844" s="1495"/>
      <c r="F844" s="1495"/>
      <c r="G844" s="1044"/>
      <c r="H844" s="120"/>
      <c r="I844" s="417"/>
      <c r="J844" s="120"/>
      <c r="K844" s="404"/>
      <c r="L844" s="120"/>
      <c r="M844" s="120"/>
      <c r="N844" s="120"/>
      <c r="O844" s="404"/>
      <c r="P844" s="127"/>
    </row>
    <row r="845" spans="1:17" ht="42.75" customHeight="1">
      <c r="A845" s="260"/>
      <c r="B845" s="1045">
        <v>3.1</v>
      </c>
      <c r="C845" s="1494" t="s">
        <v>1257</v>
      </c>
      <c r="D845" s="1495"/>
      <c r="E845" s="1495"/>
      <c r="F845" s="1495"/>
      <c r="G845" s="1044"/>
      <c r="H845" s="120"/>
      <c r="I845" s="417"/>
      <c r="J845" s="120"/>
      <c r="K845" s="404"/>
      <c r="L845" s="120"/>
      <c r="M845" s="120"/>
      <c r="N845" s="120"/>
      <c r="O845" s="404"/>
      <c r="P845" s="127"/>
    </row>
    <row r="846" spans="1:17" ht="42.75" customHeight="1">
      <c r="A846" s="260"/>
      <c r="B846" s="1045"/>
      <c r="C846" s="1494" t="s">
        <v>1258</v>
      </c>
      <c r="D846" s="1495"/>
      <c r="E846" s="1495"/>
      <c r="F846" s="1495"/>
      <c r="G846" s="1044"/>
      <c r="H846" s="120"/>
      <c r="I846" s="417"/>
      <c r="J846" s="120"/>
      <c r="K846" s="404"/>
      <c r="L846" s="120"/>
      <c r="M846" s="120"/>
      <c r="N846" s="120"/>
      <c r="O846" s="404"/>
      <c r="P846" s="127"/>
    </row>
    <row r="847" spans="1:17" ht="42.75" customHeight="1">
      <c r="A847" s="260"/>
      <c r="B847" s="1045"/>
      <c r="C847" s="1494" t="s">
        <v>1251</v>
      </c>
      <c r="D847" s="1495"/>
      <c r="E847" s="1495"/>
      <c r="F847" s="1495"/>
      <c r="G847" s="399" t="s">
        <v>273</v>
      </c>
      <c r="H847" s="120">
        <v>214.38</v>
      </c>
      <c r="I847" s="417">
        <v>0.96</v>
      </c>
      <c r="J847" s="120">
        <v>360</v>
      </c>
      <c r="K847" s="404">
        <f>'SA5 Additional Sani Works '!J108</f>
        <v>60.000000000000007</v>
      </c>
      <c r="L847" s="120">
        <f>K847+J847</f>
        <v>420</v>
      </c>
      <c r="M847" s="120">
        <f>I847*H847</f>
        <v>205.8048</v>
      </c>
      <c r="N847" s="120">
        <f>J847*H847</f>
        <v>77176.800000000003</v>
      </c>
      <c r="O847" s="404">
        <f>K847*H847</f>
        <v>12862.800000000001</v>
      </c>
      <c r="P847" s="127">
        <f>O847+N847</f>
        <v>90039.6</v>
      </c>
    </row>
    <row r="848" spans="1:17" ht="42.75" customHeight="1">
      <c r="A848" s="260"/>
      <c r="B848" s="1045">
        <v>3.2</v>
      </c>
      <c r="C848" s="1494" t="s">
        <v>1261</v>
      </c>
      <c r="D848" s="1495"/>
      <c r="E848" s="1495"/>
      <c r="F848" s="1495"/>
      <c r="G848" s="399"/>
      <c r="H848" s="120"/>
      <c r="I848" s="417"/>
      <c r="J848" s="120"/>
      <c r="K848" s="404"/>
      <c r="L848" s="120">
        <f>K848</f>
        <v>0</v>
      </c>
      <c r="M848" s="120">
        <f>I848*H848</f>
        <v>0</v>
      </c>
      <c r="N848" s="120"/>
      <c r="O848" s="404">
        <f>L848*H848</f>
        <v>0</v>
      </c>
      <c r="P848" s="127">
        <f>O848</f>
        <v>0</v>
      </c>
    </row>
    <row r="849" spans="1:17" ht="42.75" customHeight="1">
      <c r="A849" s="260"/>
      <c r="B849" s="1045"/>
      <c r="C849" s="1494" t="s">
        <v>1262</v>
      </c>
      <c r="D849" s="1495"/>
      <c r="E849" s="1495"/>
      <c r="F849" s="1495"/>
      <c r="G849" s="399" t="s">
        <v>273</v>
      </c>
      <c r="H849" s="120">
        <v>64</v>
      </c>
      <c r="I849" s="417">
        <v>119</v>
      </c>
      <c r="J849" s="120">
        <v>252</v>
      </c>
      <c r="K849" s="404">
        <f>'SA5 Additional Sani Works '!J112</f>
        <v>180.00000000000003</v>
      </c>
      <c r="L849" s="120">
        <f>K849+J849</f>
        <v>432</v>
      </c>
      <c r="M849" s="120">
        <f>I849*H849</f>
        <v>7616</v>
      </c>
      <c r="N849" s="120">
        <f>J849*H849</f>
        <v>16128</v>
      </c>
      <c r="O849" s="404">
        <f>K849*H849</f>
        <v>11520.000000000002</v>
      </c>
      <c r="P849" s="127">
        <f>O849+N849</f>
        <v>27648</v>
      </c>
    </row>
    <row r="850" spans="1:17" ht="42.75" customHeight="1">
      <c r="A850" s="260"/>
      <c r="B850" s="1045">
        <v>3.3</v>
      </c>
      <c r="C850" s="1494" t="s">
        <v>1263</v>
      </c>
      <c r="D850" s="1495"/>
      <c r="E850" s="1495"/>
      <c r="F850" s="1495"/>
      <c r="G850" s="399"/>
      <c r="H850" s="120"/>
      <c r="I850" s="417"/>
      <c r="J850" s="120"/>
      <c r="K850" s="404"/>
      <c r="L850" s="120"/>
      <c r="M850" s="120"/>
      <c r="N850" s="120"/>
      <c r="O850" s="404"/>
      <c r="P850" s="127"/>
    </row>
    <row r="851" spans="1:17" ht="42.75" customHeight="1" thickBot="1">
      <c r="A851" s="260"/>
      <c r="B851" s="1045"/>
      <c r="C851" s="1494" t="s">
        <v>1264</v>
      </c>
      <c r="D851" s="1495"/>
      <c r="E851" s="1495"/>
      <c r="F851" s="1495"/>
      <c r="G851" s="399" t="s">
        <v>273</v>
      </c>
      <c r="H851" s="120">
        <v>61.3</v>
      </c>
      <c r="I851" s="417">
        <v>30</v>
      </c>
      <c r="J851" s="120"/>
      <c r="K851" s="404"/>
      <c r="L851" s="120">
        <f>K851</f>
        <v>0</v>
      </c>
      <c r="M851" s="120">
        <f>I851*H851</f>
        <v>1839</v>
      </c>
      <c r="N851" s="120"/>
      <c r="O851" s="404">
        <f>L851*H851</f>
        <v>0</v>
      </c>
      <c r="P851" s="127">
        <f>O851</f>
        <v>0</v>
      </c>
    </row>
    <row r="852" spans="1:17" ht="24" customHeight="1" thickTop="1" thickBot="1">
      <c r="A852" s="260"/>
      <c r="B852" s="273"/>
      <c r="C852" s="266" t="s">
        <v>312</v>
      </c>
      <c r="D852" s="267"/>
      <c r="E852" s="267"/>
      <c r="F852" s="267"/>
      <c r="G852" s="268"/>
      <c r="H852" s="269"/>
      <c r="I852" s="426"/>
      <c r="J852" s="269"/>
      <c r="K852" s="443"/>
      <c r="L852" s="270"/>
      <c r="M852" s="270">
        <v>98091.12</v>
      </c>
      <c r="N852" s="270">
        <f>SUM(N840:N851)</f>
        <v>149689.79999999999</v>
      </c>
      <c r="O852" s="443">
        <f>SUM(O840:O851)</f>
        <v>64657.8</v>
      </c>
      <c r="P852" s="526">
        <f>SUM(P840:P851)</f>
        <v>214347.6</v>
      </c>
      <c r="Q852" s="328"/>
    </row>
    <row r="853" spans="1:17" ht="24" customHeight="1" thickTop="1">
      <c r="A853" s="260"/>
      <c r="B853" s="793" t="str">
        <f>'Variation order No.06'!A8</f>
        <v>Var. no.06</v>
      </c>
      <c r="C853" s="794"/>
      <c r="D853" s="795"/>
      <c r="E853" s="795"/>
      <c r="F853" s="795"/>
      <c r="G853" s="802"/>
      <c r="H853" s="796"/>
      <c r="I853" s="797"/>
      <c r="J853" s="796"/>
      <c r="K853" s="747"/>
      <c r="L853" s="798"/>
      <c r="M853" s="798"/>
      <c r="N853" s="798"/>
      <c r="O853" s="747"/>
      <c r="P853" s="1218"/>
    </row>
    <row r="855" spans="1:17" ht="24" customHeight="1">
      <c r="A855" s="260"/>
      <c r="B855" s="793"/>
      <c r="C855" s="1219" t="str">
        <f>'Variation order No.06'!A11</f>
        <v>1) Fuel Tank Foundation</v>
      </c>
      <c r="D855" s="795"/>
      <c r="E855" s="795"/>
      <c r="F855" s="795"/>
      <c r="G855" s="802"/>
      <c r="H855" s="796"/>
      <c r="I855" s="797"/>
      <c r="J855" s="796"/>
      <c r="K855" s="747"/>
      <c r="L855" s="798"/>
      <c r="M855" s="798"/>
      <c r="N855" s="798"/>
      <c r="O855" s="747"/>
      <c r="P855" s="1218"/>
    </row>
    <row r="856" spans="1:17" ht="24" customHeight="1">
      <c r="A856" s="260"/>
      <c r="B856" s="793">
        <v>1.01</v>
      </c>
      <c r="C856" s="1219" t="str">
        <f>'Variation order No.06'!A15</f>
        <v>1.01) Lean concrete under footing</v>
      </c>
      <c r="D856" s="795"/>
      <c r="E856" s="795"/>
      <c r="F856" s="795"/>
      <c r="G856" s="1044" t="s">
        <v>1183</v>
      </c>
      <c r="H856" s="796">
        <v>102.82</v>
      </c>
      <c r="I856" s="797">
        <v>9.5</v>
      </c>
      <c r="J856" s="796"/>
      <c r="K856" s="747">
        <f>'Variation order No.06'!I17</f>
        <v>9.5</v>
      </c>
      <c r="L856" s="798">
        <f>K856+J856</f>
        <v>9.5</v>
      </c>
      <c r="M856" s="798">
        <f>I856*H856</f>
        <v>976.79</v>
      </c>
      <c r="N856" s="798"/>
      <c r="O856" s="747">
        <f>K856*H856</f>
        <v>976.79</v>
      </c>
      <c r="P856" s="1218">
        <f>O856+N856</f>
        <v>976.79</v>
      </c>
    </row>
    <row r="857" spans="1:17" ht="17.25" customHeight="1">
      <c r="A857" s="260"/>
      <c r="B857" s="118">
        <v>1.02</v>
      </c>
      <c r="C857" s="1220" t="str">
        <f>'Variation order No.06'!A19</f>
        <v>1.02) Reinforced Concrete C -25 in footing</v>
      </c>
      <c r="D857" s="129"/>
      <c r="E857" s="129"/>
      <c r="F857" s="130"/>
      <c r="G857" s="399" t="s">
        <v>273</v>
      </c>
      <c r="H857" s="120">
        <v>2756.15</v>
      </c>
      <c r="I857" s="417">
        <v>1.78</v>
      </c>
      <c r="J857" s="120"/>
      <c r="K857" s="404">
        <f>'Variation order No.06'!I21</f>
        <v>1.7760000000000002</v>
      </c>
      <c r="L857" s="120">
        <f t="shared" ref="L857" si="178">J857+K857</f>
        <v>1.7760000000000002</v>
      </c>
      <c r="M857" s="120">
        <f t="shared" ref="M857" si="179">H857*I857</f>
        <v>4905.9470000000001</v>
      </c>
      <c r="N857" s="120">
        <f t="shared" ref="N857" si="180">H857*J857</f>
        <v>0</v>
      </c>
      <c r="O857" s="404">
        <f t="shared" ref="O857" si="181">H857*K857</f>
        <v>4894.9224000000013</v>
      </c>
      <c r="P857" s="127">
        <f t="shared" ref="P857" si="182">H857*L857</f>
        <v>4894.9224000000013</v>
      </c>
    </row>
    <row r="858" spans="1:17" ht="17.25" customHeight="1">
      <c r="A858" s="260"/>
      <c r="B858" s="118">
        <v>1.03</v>
      </c>
      <c r="C858" s="1220" t="str">
        <f>'Variation order No.06'!A23</f>
        <v>1.03) Mild Steel  Reinforcement</v>
      </c>
      <c r="D858" s="129"/>
      <c r="E858" s="129"/>
      <c r="F858" s="130"/>
      <c r="G858" s="399"/>
      <c r="H858" s="120"/>
      <c r="I858" s="417"/>
      <c r="J858" s="120"/>
      <c r="K858" s="404"/>
      <c r="L858" s="120"/>
      <c r="M858" s="120"/>
      <c r="N858" s="120"/>
      <c r="O858" s="404"/>
      <c r="P858" s="127"/>
    </row>
    <row r="859" spans="1:17" ht="17.25" customHeight="1">
      <c r="A859" s="260"/>
      <c r="B859" s="118"/>
      <c r="C859" s="1220" t="str">
        <f>'Variation order No.06'!A24</f>
        <v>a) Dia 10mm</v>
      </c>
      <c r="D859" s="129"/>
      <c r="E859" s="129"/>
      <c r="F859" s="130"/>
      <c r="G859" s="399" t="s">
        <v>103</v>
      </c>
      <c r="H859" s="120">
        <v>7.59</v>
      </c>
      <c r="I859" s="417">
        <v>113.34</v>
      </c>
      <c r="J859" s="120"/>
      <c r="K859" s="404">
        <f>'Variation order No.06'!I24</f>
        <v>137.83000000000001</v>
      </c>
      <c r="L859" s="120">
        <f t="shared" ref="L859" si="183">J859+K859</f>
        <v>137.83000000000001</v>
      </c>
      <c r="M859" s="120">
        <f t="shared" ref="M859" si="184">H859*I859</f>
        <v>860.25059999999996</v>
      </c>
      <c r="N859" s="120">
        <f t="shared" ref="N859" si="185">H859*J859</f>
        <v>0</v>
      </c>
      <c r="O859" s="404">
        <f t="shared" ref="O859" si="186">H859*K859</f>
        <v>1046.1297000000002</v>
      </c>
      <c r="P859" s="127">
        <f t="shared" ref="P859" si="187">H859*L859</f>
        <v>1046.1297000000002</v>
      </c>
    </row>
    <row r="860" spans="1:17" ht="17.25" customHeight="1">
      <c r="A860" s="260"/>
      <c r="B860" s="118">
        <v>1.05</v>
      </c>
      <c r="C860" s="1220" t="str">
        <f>'Variation order No.06'!A26</f>
        <v>1.05) Steel Form Work</v>
      </c>
      <c r="D860" s="129"/>
      <c r="E860" s="129"/>
      <c r="F860" s="130"/>
      <c r="G860" s="399"/>
      <c r="H860" s="120"/>
      <c r="I860" s="417"/>
      <c r="J860" s="120"/>
      <c r="K860" s="404"/>
      <c r="L860" s="120">
        <f t="shared" ref="L860:L861" si="188">J860+K860</f>
        <v>0</v>
      </c>
      <c r="M860" s="120">
        <f t="shared" ref="M860:M861" si="189">H860*I860</f>
        <v>0</v>
      </c>
      <c r="N860" s="120">
        <f t="shared" ref="N860:N861" si="190">H860*J860</f>
        <v>0</v>
      </c>
      <c r="O860" s="404">
        <f t="shared" ref="O860:O861" si="191">H860*K860</f>
        <v>0</v>
      </c>
      <c r="P860" s="127">
        <f t="shared" ref="P860:P861" si="192">H860*L860</f>
        <v>0</v>
      </c>
    </row>
    <row r="861" spans="1:17" ht="17.25" customHeight="1">
      <c r="A861" s="260"/>
      <c r="B861" s="118"/>
      <c r="C861" s="1220" t="str">
        <f>'Variation order No.06'!A27</f>
        <v>a) In footing</v>
      </c>
      <c r="D861" s="129"/>
      <c r="E861" s="129"/>
      <c r="F861" s="130"/>
      <c r="G861" s="1044" t="s">
        <v>1183</v>
      </c>
      <c r="H861" s="120">
        <v>195.62</v>
      </c>
      <c r="I861" s="417">
        <v>2.44</v>
      </c>
      <c r="J861" s="120"/>
      <c r="K861" s="404">
        <f>'Variation order No.06'!I28</f>
        <v>2.44</v>
      </c>
      <c r="L861" s="120">
        <f t="shared" si="188"/>
        <v>2.44</v>
      </c>
      <c r="M861" s="120">
        <f t="shared" si="189"/>
        <v>477.31279999999998</v>
      </c>
      <c r="N861" s="120">
        <f t="shared" si="190"/>
        <v>0</v>
      </c>
      <c r="O861" s="404">
        <f t="shared" si="191"/>
        <v>477.31279999999998</v>
      </c>
      <c r="P861" s="127">
        <f t="shared" si="192"/>
        <v>477.31279999999998</v>
      </c>
    </row>
    <row r="862" spans="1:17" ht="17.25" customHeight="1" thickBot="1">
      <c r="A862" s="260"/>
      <c r="B862" s="375"/>
      <c r="C862" s="1234"/>
      <c r="D862" s="274"/>
      <c r="E862" s="274"/>
      <c r="F862" s="274"/>
      <c r="G862" s="1235"/>
      <c r="H862" s="398"/>
      <c r="I862" s="484"/>
      <c r="J862" s="398"/>
      <c r="K862" s="485"/>
      <c r="L862" s="398"/>
      <c r="M862" s="398"/>
      <c r="N862" s="398"/>
      <c r="O862" s="485"/>
      <c r="P862" s="1236"/>
    </row>
    <row r="863" spans="1:17" ht="24" customHeight="1" thickTop="1" thickBot="1">
      <c r="A863" s="260"/>
      <c r="B863" s="273"/>
      <c r="C863" s="266" t="s">
        <v>1355</v>
      </c>
      <c r="D863" s="267"/>
      <c r="E863" s="267"/>
      <c r="F863" s="267"/>
      <c r="G863" s="268"/>
      <c r="H863" s="269"/>
      <c r="I863" s="426"/>
      <c r="J863" s="269"/>
      <c r="K863" s="443"/>
      <c r="L863" s="270"/>
      <c r="M863" s="270">
        <f>SUM(M856:M862)</f>
        <v>7220.3004000000001</v>
      </c>
      <c r="N863" s="270"/>
      <c r="O863" s="443">
        <f>SUM(O856:O862)</f>
        <v>7395.1549000000014</v>
      </c>
      <c r="P863" s="526">
        <f>SUM(P856:P862)</f>
        <v>7395.1549000000014</v>
      </c>
    </row>
    <row r="864" spans="1:17" ht="24" customHeight="1" thickTop="1">
      <c r="A864" s="260"/>
      <c r="B864" s="793"/>
      <c r="C864" s="794"/>
      <c r="D864" s="795"/>
      <c r="E864" s="795"/>
      <c r="F864" s="795"/>
      <c r="G864" s="802"/>
      <c r="H864" s="796"/>
      <c r="I864" s="797"/>
      <c r="J864" s="796"/>
      <c r="K864" s="747"/>
      <c r="L864" s="798"/>
      <c r="M864" s="798"/>
      <c r="N864" s="798"/>
      <c r="O864" s="747"/>
      <c r="P864" s="1218"/>
    </row>
    <row r="865" spans="1:16" ht="24" customHeight="1">
      <c r="A865" s="260"/>
      <c r="B865" s="793">
        <v>14</v>
      </c>
      <c r="C865" s="1219" t="str">
        <f>'Variation order No.06'!F6</f>
        <v>1) Fuel Tank Foundation</v>
      </c>
      <c r="D865" s="795"/>
      <c r="E865" s="795"/>
      <c r="F865" s="795"/>
      <c r="G865" s="802"/>
      <c r="H865" s="796"/>
      <c r="I865" s="797"/>
      <c r="J865" s="796"/>
      <c r="K865" s="747"/>
      <c r="L865" s="798"/>
      <c r="M865" s="798"/>
      <c r="N865" s="798"/>
      <c r="O865" s="747"/>
      <c r="P865" s="1218"/>
    </row>
    <row r="866" spans="1:16" ht="17.25" customHeight="1">
      <c r="A866" s="260"/>
      <c r="B866" s="118">
        <v>1</v>
      </c>
      <c r="C866" s="1220" t="str">
        <f>'Variation order No.06'!A33</f>
        <v xml:space="preserve">1. Correction work </v>
      </c>
      <c r="D866" s="129"/>
      <c r="E866" s="129"/>
      <c r="F866" s="130"/>
      <c r="G866" s="399"/>
      <c r="H866" s="120"/>
      <c r="I866" s="417"/>
      <c r="J866" s="120"/>
      <c r="K866" s="404"/>
      <c r="L866" s="120">
        <f t="shared" ref="L866" si="193">J866+K866</f>
        <v>0</v>
      </c>
      <c r="M866" s="120">
        <f t="shared" ref="M866" si="194">H866*I866</f>
        <v>0</v>
      </c>
      <c r="N866" s="120">
        <f t="shared" ref="N866" si="195">H866*J866</f>
        <v>0</v>
      </c>
      <c r="O866" s="404">
        <f t="shared" ref="O866" si="196">H866*K866</f>
        <v>0</v>
      </c>
      <c r="P866" s="127">
        <f t="shared" ref="P866" si="197">H866*L866</f>
        <v>0</v>
      </c>
    </row>
    <row r="867" spans="1:16" ht="36" customHeight="1">
      <c r="A867" s="260"/>
      <c r="B867" s="118">
        <v>1.1000000000000001</v>
      </c>
      <c r="C867" s="1485" t="str">
        <f>'Variation order No.06'!A34</f>
        <v>1.1) Removal of the existing construction and make ready for new floor slab casting</v>
      </c>
      <c r="D867" s="1486"/>
      <c r="E867" s="1486"/>
      <c r="F867" s="1487"/>
      <c r="G867" s="1044"/>
      <c r="H867" s="1225"/>
      <c r="I867" s="417"/>
      <c r="J867" s="120"/>
      <c r="K867" s="404"/>
      <c r="L867" s="120">
        <f t="shared" ref="L867:L869" si="198">J867+K867</f>
        <v>0</v>
      </c>
      <c r="M867" s="120">
        <f t="shared" ref="M867:M869" si="199">H867*I867</f>
        <v>0</v>
      </c>
      <c r="N867" s="120">
        <f t="shared" ref="N867:N869" si="200">H867*J867</f>
        <v>0</v>
      </c>
      <c r="O867" s="404">
        <f t="shared" ref="O867:O869" si="201">H867*K867</f>
        <v>0</v>
      </c>
      <c r="P867" s="127">
        <f t="shared" ref="P867:P869" si="202">H867*L867</f>
        <v>0</v>
      </c>
    </row>
    <row r="868" spans="1:16" ht="38.25" customHeight="1">
      <c r="A868" s="260"/>
      <c r="B868" s="118"/>
      <c r="C868" s="1488" t="str">
        <f>'Variation order No.06'!A35</f>
        <v>a)  RC floor slab price including of concrete and steel re-bar</v>
      </c>
      <c r="D868" s="1489"/>
      <c r="E868" s="1489"/>
      <c r="F868" s="1490"/>
      <c r="G868" s="1044" t="s">
        <v>1183</v>
      </c>
      <c r="H868" s="120">
        <v>106.38</v>
      </c>
      <c r="I868" s="417">
        <v>11</v>
      </c>
      <c r="J868" s="120"/>
      <c r="K868" s="404">
        <f>'Variation order No.06'!I36</f>
        <v>11.399999999999999</v>
      </c>
      <c r="L868" s="120">
        <f t="shared" si="198"/>
        <v>11.399999999999999</v>
      </c>
      <c r="M868" s="120">
        <f t="shared" si="199"/>
        <v>1170.1799999999998</v>
      </c>
      <c r="N868" s="120">
        <f t="shared" si="200"/>
        <v>0</v>
      </c>
      <c r="O868" s="404">
        <f t="shared" si="201"/>
        <v>1212.7319999999997</v>
      </c>
      <c r="P868" s="127">
        <f t="shared" si="202"/>
        <v>1212.7319999999997</v>
      </c>
    </row>
    <row r="869" spans="1:16" ht="39.75" customHeight="1">
      <c r="A869" s="260"/>
      <c r="B869" s="118"/>
      <c r="C869" s="1485" t="str">
        <f>'Variation order No.06'!A38</f>
        <v xml:space="preserve">b)  25 cm thick hard core and re-use again for new concrete casting </v>
      </c>
      <c r="D869" s="1486"/>
      <c r="E869" s="1486"/>
      <c r="F869" s="1487"/>
      <c r="G869" s="1044" t="s">
        <v>1183</v>
      </c>
      <c r="H869" s="120">
        <v>26.62</v>
      </c>
      <c r="I869" s="417">
        <v>11</v>
      </c>
      <c r="J869" s="120"/>
      <c r="K869" s="404">
        <f>'Variation order No.06'!I39</f>
        <v>11.399999999999999</v>
      </c>
      <c r="L869" s="120">
        <f t="shared" si="198"/>
        <v>11.399999999999999</v>
      </c>
      <c r="M869" s="120">
        <f t="shared" si="199"/>
        <v>292.82</v>
      </c>
      <c r="N869" s="120">
        <f t="shared" si="200"/>
        <v>0</v>
      </c>
      <c r="O869" s="404">
        <f t="shared" si="201"/>
        <v>303.46799999999996</v>
      </c>
      <c r="P869" s="127">
        <f t="shared" si="202"/>
        <v>303.46799999999996</v>
      </c>
    </row>
    <row r="870" spans="1:16" s="470" customFormat="1" ht="41.25" customHeight="1">
      <c r="A870" s="941"/>
      <c r="B870" s="793"/>
      <c r="C870" s="1491" t="str">
        <f>'Variation order No.06'!A41</f>
        <v xml:space="preserve">c) Excavate the exsting selected material to an appropriat depth </v>
      </c>
      <c r="D870" s="1492"/>
      <c r="E870" s="1492"/>
      <c r="F870" s="1493"/>
      <c r="G870" s="399" t="s">
        <v>273</v>
      </c>
      <c r="H870" s="796">
        <v>181.72</v>
      </c>
      <c r="I870" s="797">
        <v>2</v>
      </c>
      <c r="J870" s="796"/>
      <c r="K870" s="1226">
        <f>'Variation order No.06'!I43</f>
        <v>2.04</v>
      </c>
      <c r="L870" s="796"/>
      <c r="M870" s="796">
        <f>I870*H870</f>
        <v>363.44</v>
      </c>
      <c r="N870" s="796"/>
      <c r="O870" s="1226">
        <f>K870*H870</f>
        <v>370.7088</v>
      </c>
      <c r="P870" s="1227">
        <f>O870+N870</f>
        <v>370.7088</v>
      </c>
    </row>
    <row r="871" spans="1:16" s="470" customFormat="1" ht="28.5" customHeight="1">
      <c r="A871" s="941"/>
      <c r="B871" s="793">
        <v>1.2</v>
      </c>
      <c r="C871" s="1504" t="str">
        <f>'Variation order No.06'!A45</f>
        <v>1.2) Removal of vertical surfaces</v>
      </c>
      <c r="D871" s="1505"/>
      <c r="E871" s="1505"/>
      <c r="F871" s="1506"/>
      <c r="G871" s="388"/>
      <c r="H871" s="796"/>
      <c r="I871" s="797"/>
      <c r="J871" s="796"/>
      <c r="K871" s="1226"/>
      <c r="L871" s="796"/>
      <c r="M871" s="796"/>
      <c r="N871" s="796"/>
      <c r="O871" s="1226"/>
      <c r="P871" s="1227"/>
    </row>
    <row r="872" spans="1:16" ht="39.75" customHeight="1">
      <c r="A872" s="260"/>
      <c r="B872" s="118"/>
      <c r="C872" s="1355" t="str">
        <f>'Variation order No.06'!A46</f>
        <v>a)  Door: Type Door-09: size :1410*3010</v>
      </c>
      <c r="D872" s="1356"/>
      <c r="E872" s="1356"/>
      <c r="F872" s="1357"/>
      <c r="G872" s="1044" t="s">
        <v>1071</v>
      </c>
      <c r="H872" s="120">
        <v>119.21</v>
      </c>
      <c r="I872" s="417">
        <v>1</v>
      </c>
      <c r="J872" s="120"/>
      <c r="K872" s="404">
        <v>1</v>
      </c>
      <c r="L872" s="120">
        <f t="shared" ref="L872" si="203">J872+K872</f>
        <v>1</v>
      </c>
      <c r="M872" s="120">
        <f t="shared" ref="M872" si="204">H872*I872</f>
        <v>119.21</v>
      </c>
      <c r="N872" s="120">
        <f t="shared" ref="N872" si="205">H872*J872</f>
        <v>0</v>
      </c>
      <c r="O872" s="404">
        <f t="shared" ref="O872" si="206">H872*K872</f>
        <v>119.21</v>
      </c>
      <c r="P872" s="127">
        <f t="shared" ref="P872" si="207">H872*L872</f>
        <v>119.21</v>
      </c>
    </row>
    <row r="873" spans="1:16" ht="39.75" customHeight="1">
      <c r="A873" s="260"/>
      <c r="B873" s="118"/>
      <c r="C873" s="1355" t="str">
        <f>'Variation order No.06'!A47</f>
        <v>b)  Windows: Type w-05: size :870*800mm</v>
      </c>
      <c r="D873" s="1356"/>
      <c r="E873" s="1356"/>
      <c r="F873" s="1357"/>
      <c r="G873" s="1044" t="s">
        <v>1071</v>
      </c>
      <c r="H873" s="120">
        <v>105.96</v>
      </c>
      <c r="I873" s="417">
        <v>1</v>
      </c>
      <c r="J873" s="120"/>
      <c r="K873" s="404">
        <v>1</v>
      </c>
      <c r="L873" s="120">
        <f t="shared" ref="L873" si="208">J873+K873</f>
        <v>1</v>
      </c>
      <c r="M873" s="120">
        <f t="shared" ref="M873" si="209">H873*I873</f>
        <v>105.96</v>
      </c>
      <c r="N873" s="120">
        <f t="shared" ref="N873" si="210">H873*J873</f>
        <v>0</v>
      </c>
      <c r="O873" s="404">
        <f t="shared" ref="O873" si="211">H873*K873</f>
        <v>105.96</v>
      </c>
      <c r="P873" s="127">
        <f t="shared" ref="P873" si="212">H873*L873</f>
        <v>105.96</v>
      </c>
    </row>
    <row r="874" spans="1:16" ht="39.75" customHeight="1">
      <c r="A874" s="260"/>
      <c r="B874" s="118" t="s">
        <v>299</v>
      </c>
      <c r="C874" s="1355" t="str">
        <f>'Variation order No.06'!A49</f>
        <v>1.2.2) Removal of the existing HCB wall in two wing parts of block</v>
      </c>
      <c r="D874" s="1356"/>
      <c r="E874" s="1356"/>
      <c r="F874" s="1357"/>
      <c r="G874" s="1044" t="s">
        <v>1183</v>
      </c>
      <c r="H874" s="120">
        <v>62.8</v>
      </c>
      <c r="I874" s="417">
        <v>35</v>
      </c>
      <c r="J874" s="120"/>
      <c r="K874" s="404">
        <f>'Variation order No.06'!I57</f>
        <v>35</v>
      </c>
      <c r="L874" s="120">
        <f t="shared" ref="L874" si="213">J874+K874</f>
        <v>35</v>
      </c>
      <c r="M874" s="120">
        <f t="shared" ref="M874" si="214">H874*I874</f>
        <v>2198</v>
      </c>
      <c r="N874" s="120">
        <f t="shared" ref="N874" si="215">H874*J874</f>
        <v>0</v>
      </c>
      <c r="O874" s="404">
        <f t="shared" ref="O874" si="216">H874*K874</f>
        <v>2198</v>
      </c>
      <c r="P874" s="127">
        <f t="shared" ref="P874" si="217">H874*L874</f>
        <v>2198</v>
      </c>
    </row>
    <row r="875" spans="1:16" ht="39.75" customHeight="1">
      <c r="A875" s="260"/>
      <c r="B875" s="118">
        <v>2</v>
      </c>
      <c r="C875" s="1355" t="str">
        <f>'Variation order No.06'!A74</f>
        <v>2) Excavation and Earth Work</v>
      </c>
      <c r="D875" s="1356"/>
      <c r="E875" s="1356"/>
      <c r="F875" s="1357"/>
      <c r="G875" s="1044"/>
      <c r="H875" s="120"/>
      <c r="I875" s="417"/>
      <c r="J875" s="120"/>
      <c r="K875" s="404">
        <f>'Variation order No.06'!I58</f>
        <v>0</v>
      </c>
      <c r="L875" s="120">
        <f t="shared" ref="L875" si="218">J875+K875</f>
        <v>0</v>
      </c>
      <c r="M875" s="120">
        <f t="shared" ref="M875" si="219">H875*I875</f>
        <v>0</v>
      </c>
      <c r="N875" s="120">
        <f t="shared" ref="N875" si="220">H875*J875</f>
        <v>0</v>
      </c>
      <c r="O875" s="404">
        <f t="shared" ref="O875" si="221">H875*K875</f>
        <v>0</v>
      </c>
      <c r="P875" s="127">
        <f t="shared" ref="P875" si="222">H875*L875</f>
        <v>0</v>
      </c>
    </row>
    <row r="876" spans="1:16" ht="39.75" customHeight="1">
      <c r="A876" s="260"/>
      <c r="B876" s="118">
        <v>2.1</v>
      </c>
      <c r="C876" s="1355" t="str">
        <f>'Variation order No.06'!A75</f>
        <v>2.1) Trench excavation to lay cable trench to a depth not exceeding 1.5m in ordinary siol</v>
      </c>
      <c r="D876" s="1356"/>
      <c r="E876" s="1356"/>
      <c r="F876" s="1357"/>
      <c r="G876" s="399" t="s">
        <v>273</v>
      </c>
      <c r="H876" s="120">
        <v>92.79</v>
      </c>
      <c r="I876" s="417">
        <v>11.12</v>
      </c>
      <c r="J876" s="120"/>
      <c r="K876" s="404">
        <f>'Variation order No.06'!I77</f>
        <v>11.280000000000003</v>
      </c>
      <c r="L876" s="120">
        <f t="shared" ref="L876" si="223">J876+K876</f>
        <v>11.280000000000003</v>
      </c>
      <c r="M876" s="120">
        <f t="shared" ref="M876" si="224">H876*I876</f>
        <v>1031.8248000000001</v>
      </c>
      <c r="N876" s="120">
        <f t="shared" ref="N876" si="225">H876*J876</f>
        <v>0</v>
      </c>
      <c r="O876" s="404">
        <f t="shared" ref="O876" si="226">H876*K876</f>
        <v>1046.6712000000005</v>
      </c>
      <c r="P876" s="127">
        <f t="shared" ref="P876" si="227">H876*L876</f>
        <v>1046.6712000000005</v>
      </c>
    </row>
    <row r="877" spans="1:16" ht="39.75" customHeight="1">
      <c r="A877" s="260"/>
      <c r="B877" s="118">
        <v>2.2000000000000002</v>
      </c>
      <c r="C877" s="1355" t="str">
        <f>'Variation order No.06'!A79</f>
        <v>2.2) Cart away surplus excavated material to an aproprite trip</v>
      </c>
      <c r="D877" s="1356"/>
      <c r="E877" s="1356"/>
      <c r="F877" s="1357"/>
      <c r="G877" s="399" t="s">
        <v>273</v>
      </c>
      <c r="H877" s="120">
        <v>61.3</v>
      </c>
      <c r="I877" s="417">
        <v>13.4</v>
      </c>
      <c r="J877" s="120"/>
      <c r="K877" s="404">
        <f>'Variation order No.06'!I81</f>
        <v>13.800000000000002</v>
      </c>
      <c r="L877" s="120">
        <f t="shared" ref="L877" si="228">J877+K877</f>
        <v>13.800000000000002</v>
      </c>
      <c r="M877" s="120">
        <f t="shared" ref="M877" si="229">H877*I877</f>
        <v>821.42</v>
      </c>
      <c r="N877" s="120">
        <f t="shared" ref="N877" si="230">H877*J877</f>
        <v>0</v>
      </c>
      <c r="O877" s="404">
        <f t="shared" ref="O877" si="231">H877*K877</f>
        <v>845.94000000000017</v>
      </c>
      <c r="P877" s="127">
        <f t="shared" ref="P877" si="232">H877*L877</f>
        <v>845.94000000000017</v>
      </c>
    </row>
    <row r="878" spans="1:16" ht="39.75" customHeight="1">
      <c r="A878" s="260"/>
      <c r="B878" s="118">
        <v>2.2999999999999998</v>
      </c>
      <c r="C878" s="1355" t="str">
        <f>'Variation order No.06'!A83</f>
        <v>2.3) Re-use 250mm thick basaltic stone hard core</v>
      </c>
      <c r="D878" s="1356"/>
      <c r="E878" s="1356"/>
      <c r="F878" s="1357"/>
      <c r="G878" s="1044" t="s">
        <v>1183</v>
      </c>
      <c r="H878" s="120">
        <v>39.25</v>
      </c>
      <c r="I878" s="417">
        <v>11</v>
      </c>
      <c r="J878" s="120"/>
      <c r="K878" s="404">
        <f>'Variation order No.06'!I84</f>
        <v>11.399999999999999</v>
      </c>
      <c r="L878" s="120">
        <f t="shared" ref="L878:L879" si="233">J878+K878</f>
        <v>11.399999999999999</v>
      </c>
      <c r="M878" s="120">
        <f t="shared" ref="M878:M879" si="234">H878*I878</f>
        <v>431.75</v>
      </c>
      <c r="N878" s="120">
        <f t="shared" ref="N878:N879" si="235">H878*J878</f>
        <v>0</v>
      </c>
      <c r="O878" s="404">
        <f t="shared" ref="O878:O879" si="236">H878*K878</f>
        <v>447.44999999999993</v>
      </c>
      <c r="P878" s="127">
        <f t="shared" ref="P878:P879" si="237">H878*L878</f>
        <v>447.44999999999993</v>
      </c>
    </row>
    <row r="879" spans="1:16" ht="39.75" customHeight="1">
      <c r="A879" s="260"/>
      <c r="B879" s="118">
        <v>3</v>
      </c>
      <c r="C879" s="1355" t="str">
        <f>'Variation order No.06'!A86</f>
        <v>3) Concrete Work</v>
      </c>
      <c r="D879" s="1356"/>
      <c r="E879" s="1356"/>
      <c r="F879" s="1357"/>
      <c r="G879" s="1044"/>
      <c r="H879" s="120"/>
      <c r="I879" s="417"/>
      <c r="J879" s="120"/>
      <c r="K879" s="404">
        <f>'Variation order No.06'!I62</f>
        <v>0</v>
      </c>
      <c r="L879" s="120">
        <f t="shared" si="233"/>
        <v>0</v>
      </c>
      <c r="M879" s="120">
        <f t="shared" si="234"/>
        <v>0</v>
      </c>
      <c r="N879" s="120">
        <f t="shared" si="235"/>
        <v>0</v>
      </c>
      <c r="O879" s="404">
        <f t="shared" si="236"/>
        <v>0</v>
      </c>
      <c r="P879" s="127">
        <f t="shared" si="237"/>
        <v>0</v>
      </c>
    </row>
    <row r="880" spans="1:16" ht="39.75" customHeight="1">
      <c r="A880" s="260"/>
      <c r="B880" s="118"/>
      <c r="C880" s="1355" t="str">
        <f>'Variation order No.06'!A87</f>
        <v>3.1) Reinforced Concrete quality C-25</v>
      </c>
      <c r="D880" s="1356"/>
      <c r="E880" s="1356"/>
      <c r="F880" s="1357"/>
      <c r="G880" s="1044"/>
      <c r="H880" s="120"/>
      <c r="I880" s="417"/>
      <c r="J880" s="120"/>
      <c r="K880" s="404">
        <f>'Variation order No.06'!I63</f>
        <v>0</v>
      </c>
      <c r="L880" s="120">
        <f t="shared" ref="L880" si="238">J880+K880</f>
        <v>0</v>
      </c>
      <c r="M880" s="120">
        <f t="shared" ref="M880" si="239">H880*I880</f>
        <v>0</v>
      </c>
      <c r="N880" s="120">
        <f t="shared" ref="N880" si="240">H880*J880</f>
        <v>0</v>
      </c>
      <c r="O880" s="404">
        <f t="shared" ref="O880" si="241">H880*K880</f>
        <v>0</v>
      </c>
      <c r="P880" s="127">
        <f t="shared" ref="P880" si="242">H880*L880</f>
        <v>0</v>
      </c>
    </row>
    <row r="881" spans="1:16" ht="39.75" customHeight="1">
      <c r="A881" s="260"/>
      <c r="B881" s="118"/>
      <c r="C881" s="1355" t="str">
        <f>'Variation order No.06'!A88</f>
        <v>a)  To Generater pad (floor slab )</v>
      </c>
      <c r="D881" s="1356"/>
      <c r="E881" s="1356"/>
      <c r="F881" s="1357"/>
      <c r="G881" s="399" t="s">
        <v>273</v>
      </c>
      <c r="H881" s="120">
        <v>2756.15</v>
      </c>
      <c r="I881" s="417">
        <v>2.25</v>
      </c>
      <c r="J881" s="120"/>
      <c r="K881" s="404">
        <f>'Variation order No.06'!I90</f>
        <v>2.2799999999999998</v>
      </c>
      <c r="L881" s="120">
        <f t="shared" ref="L881" si="243">J881+K881</f>
        <v>2.2799999999999998</v>
      </c>
      <c r="M881" s="120">
        <f t="shared" ref="M881" si="244">H881*I881</f>
        <v>6201.3375000000005</v>
      </c>
      <c r="N881" s="120">
        <f t="shared" ref="N881" si="245">H881*J881</f>
        <v>0</v>
      </c>
      <c r="O881" s="404">
        <f t="shared" ref="O881" si="246">H881*K881</f>
        <v>6284.0219999999999</v>
      </c>
      <c r="P881" s="127">
        <f t="shared" ref="P881" si="247">H881*L881</f>
        <v>6284.0219999999999</v>
      </c>
    </row>
    <row r="882" spans="1:16" ht="39.75" customHeight="1">
      <c r="A882" s="260"/>
      <c r="B882" s="118"/>
      <c r="C882" s="1355" t="str">
        <f>'Variation order No.06'!A92</f>
        <v xml:space="preserve">b) To concrete cable Trench duct </v>
      </c>
      <c r="D882" s="1356"/>
      <c r="E882" s="1356"/>
      <c r="F882" s="1357"/>
      <c r="G882" s="399" t="s">
        <v>273</v>
      </c>
      <c r="H882" s="120">
        <v>2756.15</v>
      </c>
      <c r="I882" s="417">
        <v>6.88</v>
      </c>
      <c r="J882" s="120"/>
      <c r="K882" s="404">
        <v>7.94</v>
      </c>
      <c r="L882" s="120">
        <f t="shared" ref="L882" si="248">J882+K882</f>
        <v>7.94</v>
      </c>
      <c r="M882" s="120">
        <f t="shared" ref="M882" si="249">H882*I882</f>
        <v>18962.312000000002</v>
      </c>
      <c r="N882" s="120">
        <f t="shared" ref="N882" si="250">H882*J882</f>
        <v>0</v>
      </c>
      <c r="O882" s="404">
        <f t="shared" ref="O882" si="251">H882*K882</f>
        <v>21883.831000000002</v>
      </c>
      <c r="P882" s="127">
        <f t="shared" ref="P882" si="252">H882*L882</f>
        <v>21883.831000000002</v>
      </c>
    </row>
    <row r="883" spans="1:16" ht="39.75" customHeight="1">
      <c r="A883" s="260"/>
      <c r="B883" s="118"/>
      <c r="C883" s="1355" t="str">
        <f>'Variation order No.06'!A101</f>
        <v xml:space="preserve">c) To 50mm thick R.C cover for electric  cable  duct </v>
      </c>
      <c r="D883" s="1356"/>
      <c r="E883" s="1356"/>
      <c r="F883" s="1357"/>
      <c r="G883" s="1044" t="s">
        <v>1183</v>
      </c>
      <c r="H883" s="120">
        <v>137.8075</v>
      </c>
      <c r="I883" s="417">
        <v>5.38</v>
      </c>
      <c r="J883" s="120"/>
      <c r="K883" s="404">
        <f>'Variation order No.06'!I102</f>
        <v>5.2249999999999996</v>
      </c>
      <c r="L883" s="120">
        <f t="shared" ref="L883" si="253">J883+K883</f>
        <v>5.2249999999999996</v>
      </c>
      <c r="M883" s="120">
        <f t="shared" ref="M883" si="254">H883*I883</f>
        <v>741.40435000000002</v>
      </c>
      <c r="N883" s="120">
        <f t="shared" ref="N883" si="255">H883*J883</f>
        <v>0</v>
      </c>
      <c r="O883" s="404">
        <f t="shared" ref="O883" si="256">H883*K883</f>
        <v>720.04418750000002</v>
      </c>
      <c r="P883" s="127">
        <f t="shared" ref="P883" si="257">H883*L883</f>
        <v>720.04418750000002</v>
      </c>
    </row>
    <row r="884" spans="1:16" ht="39.75" customHeight="1">
      <c r="A884" s="260"/>
      <c r="B884" s="118"/>
      <c r="C884" s="1355" t="str">
        <f>'Variation order No.06'!A104</f>
        <v>d) To 100mm thick ground floor slab suround of genetator pad</v>
      </c>
      <c r="D884" s="1356"/>
      <c r="E884" s="1356"/>
      <c r="F884" s="1357"/>
      <c r="G884" s="1044" t="s">
        <v>1183</v>
      </c>
      <c r="H884" s="120">
        <v>275.62</v>
      </c>
      <c r="I884" s="417">
        <v>6.7</v>
      </c>
      <c r="J884" s="120"/>
      <c r="K884" s="404">
        <f>'Variation order No.06'!I105</f>
        <v>6.96</v>
      </c>
      <c r="L884" s="120">
        <f t="shared" ref="L884:L885" si="258">J884+K884</f>
        <v>6.96</v>
      </c>
      <c r="M884" s="120">
        <f t="shared" ref="M884:M885" si="259">H884*I884</f>
        <v>1846.654</v>
      </c>
      <c r="N884" s="120">
        <f t="shared" ref="N884:N885" si="260">H884*J884</f>
        <v>0</v>
      </c>
      <c r="O884" s="404">
        <f t="shared" ref="O884:O885" si="261">H884*K884</f>
        <v>1918.3152</v>
      </c>
      <c r="P884" s="127">
        <f t="shared" ref="P884:P885" si="262">H884*L884</f>
        <v>1918.3152</v>
      </c>
    </row>
    <row r="885" spans="1:16" ht="39.75" customHeight="1">
      <c r="A885" s="260"/>
      <c r="B885" s="118">
        <v>3.2</v>
      </c>
      <c r="C885" s="1355" t="str">
        <f>'Variation order No.06'!A107</f>
        <v>3.2) Provide, cut and fix in position swam structural wood or steel form work which ever is approprite.</v>
      </c>
      <c r="D885" s="1356"/>
      <c r="E885" s="1356"/>
      <c r="F885" s="1357"/>
      <c r="G885" s="1044"/>
      <c r="H885" s="120"/>
      <c r="I885" s="417"/>
      <c r="J885" s="120"/>
      <c r="K885" s="404">
        <f>'Variation order No.06'!I104</f>
        <v>0</v>
      </c>
      <c r="L885" s="120">
        <f t="shared" si="258"/>
        <v>0</v>
      </c>
      <c r="M885" s="120">
        <f t="shared" si="259"/>
        <v>0</v>
      </c>
      <c r="N885" s="120">
        <f t="shared" si="260"/>
        <v>0</v>
      </c>
      <c r="O885" s="404">
        <f t="shared" si="261"/>
        <v>0</v>
      </c>
      <c r="P885" s="127">
        <f t="shared" si="262"/>
        <v>0</v>
      </c>
    </row>
    <row r="886" spans="1:16" ht="39.75" customHeight="1">
      <c r="A886" s="260"/>
      <c r="B886" s="118"/>
      <c r="C886" s="1355" t="str">
        <f>'Variation order No.06'!A108</f>
        <v>a)  To Generater pad (floor slab )</v>
      </c>
      <c r="D886" s="1356"/>
      <c r="E886" s="1356"/>
      <c r="F886" s="1357"/>
      <c r="G886" s="1044" t="s">
        <v>1183</v>
      </c>
      <c r="H886" s="120">
        <v>195.62</v>
      </c>
      <c r="I886" s="417">
        <v>2.5</v>
      </c>
      <c r="J886" s="120"/>
      <c r="K886" s="404">
        <f>'Variation order No.06'!I109</f>
        <v>3.48</v>
      </c>
      <c r="L886" s="120">
        <f t="shared" ref="L886" si="263">J886+K886</f>
        <v>3.48</v>
      </c>
      <c r="M886" s="120">
        <f t="shared" ref="M886" si="264">H886*I886</f>
        <v>489.05</v>
      </c>
      <c r="N886" s="120">
        <f t="shared" ref="N886" si="265">H886*J886</f>
        <v>0</v>
      </c>
      <c r="O886" s="404">
        <f t="shared" ref="O886" si="266">H886*K886</f>
        <v>680.75760000000002</v>
      </c>
      <c r="P886" s="127">
        <f t="shared" ref="P886" si="267">H886*L886</f>
        <v>680.75760000000002</v>
      </c>
    </row>
    <row r="887" spans="1:16" ht="39.75" customHeight="1">
      <c r="A887" s="260"/>
      <c r="B887" s="118"/>
      <c r="C887" s="1355" t="str">
        <f>'Variation order No.06'!A108</f>
        <v>a)  To Generater pad (floor slab )</v>
      </c>
      <c r="D887" s="1356"/>
      <c r="E887" s="1356"/>
      <c r="F887" s="1357"/>
      <c r="G887" s="1044"/>
      <c r="H887" s="120"/>
      <c r="I887" s="417"/>
      <c r="J887" s="120"/>
      <c r="K887" s="404">
        <f>'Variation order No.06'!I106</f>
        <v>0</v>
      </c>
      <c r="L887" s="120">
        <f t="shared" ref="L887:L888" si="268">J887+K887</f>
        <v>0</v>
      </c>
      <c r="M887" s="120">
        <f t="shared" ref="M887:M888" si="269">H887*I887</f>
        <v>0</v>
      </c>
      <c r="N887" s="120">
        <f t="shared" ref="N887:N888" si="270">H887*J887</f>
        <v>0</v>
      </c>
      <c r="O887" s="404">
        <f t="shared" ref="O887:O888" si="271">H887*K887</f>
        <v>0</v>
      </c>
      <c r="P887" s="127">
        <f t="shared" ref="P887:P888" si="272">H887*L887</f>
        <v>0</v>
      </c>
    </row>
    <row r="888" spans="1:16" ht="39.75" customHeight="1">
      <c r="A888" s="260"/>
      <c r="B888" s="118"/>
      <c r="C888" s="1355" t="str">
        <f>'Variation order No.06'!A112</f>
        <v>b) To concrete cable Trench duct and R.C Cover</v>
      </c>
      <c r="D888" s="1356"/>
      <c r="E888" s="1356"/>
      <c r="F888" s="1357"/>
      <c r="G888" s="1044" t="s">
        <v>1183</v>
      </c>
      <c r="H888" s="120">
        <v>195.62</v>
      </c>
      <c r="I888" s="417">
        <v>34.11</v>
      </c>
      <c r="J888" s="120"/>
      <c r="K888" s="404">
        <f>'Variation order No.06'!I120</f>
        <v>30.305</v>
      </c>
      <c r="L888" s="120">
        <f t="shared" si="268"/>
        <v>30.305</v>
      </c>
      <c r="M888" s="120">
        <f t="shared" si="269"/>
        <v>6672.5982000000004</v>
      </c>
      <c r="N888" s="120">
        <f t="shared" si="270"/>
        <v>0</v>
      </c>
      <c r="O888" s="404">
        <f t="shared" si="271"/>
        <v>5928.2641000000003</v>
      </c>
      <c r="P888" s="127">
        <f t="shared" si="272"/>
        <v>5928.2641000000003</v>
      </c>
    </row>
    <row r="889" spans="1:16" ht="39.75" customHeight="1">
      <c r="A889" s="260"/>
      <c r="B889" s="118">
        <v>3.3</v>
      </c>
      <c r="C889" s="1355" t="str">
        <f>'Variation order No.06'!A121</f>
        <v>3.3) Mild steel reinforcement according to structural drawings</v>
      </c>
      <c r="D889" s="1356"/>
      <c r="E889" s="1356"/>
      <c r="F889" s="1357"/>
      <c r="G889" s="1044"/>
      <c r="H889" s="120"/>
      <c r="I889" s="417"/>
      <c r="J889" s="120"/>
      <c r="K889" s="404">
        <f>'Variation order No.06'!I108</f>
        <v>0</v>
      </c>
      <c r="L889" s="120">
        <f t="shared" ref="L889" si="273">J889+K889</f>
        <v>0</v>
      </c>
      <c r="M889" s="120">
        <f t="shared" ref="M889" si="274">H889*I889</f>
        <v>0</v>
      </c>
      <c r="N889" s="120">
        <f t="shared" ref="N889" si="275">H889*J889</f>
        <v>0</v>
      </c>
      <c r="O889" s="404">
        <f t="shared" ref="O889" si="276">H889*K889</f>
        <v>0</v>
      </c>
      <c r="P889" s="127">
        <f t="shared" ref="P889" si="277">H889*L889</f>
        <v>0</v>
      </c>
    </row>
    <row r="890" spans="1:16" ht="39.75" customHeight="1">
      <c r="A890" s="260"/>
      <c r="B890" s="118"/>
      <c r="C890" s="1231"/>
      <c r="D890" s="1232"/>
      <c r="E890" s="1232"/>
      <c r="F890" s="1233"/>
      <c r="G890" s="1044"/>
      <c r="H890" s="120"/>
      <c r="I890" s="417"/>
      <c r="J890" s="120"/>
      <c r="K890" s="404"/>
      <c r="L890" s="120"/>
      <c r="M890" s="120"/>
      <c r="N890" s="120"/>
      <c r="O890" s="404"/>
      <c r="P890" s="127"/>
    </row>
    <row r="891" spans="1:16" ht="39.75" customHeight="1">
      <c r="A891" s="260"/>
      <c r="B891" s="118"/>
      <c r="C891" s="1355" t="str">
        <f>'Variation order No.06'!A123</f>
        <v>a) Dia 8 mm deformed bars</v>
      </c>
      <c r="D891" s="1356"/>
      <c r="E891" s="1356"/>
      <c r="F891" s="1357"/>
      <c r="G891" s="1044" t="s">
        <v>103</v>
      </c>
      <c r="H891" s="120">
        <v>7.59</v>
      </c>
      <c r="I891" s="417">
        <v>29</v>
      </c>
      <c r="J891" s="120"/>
      <c r="K891" s="404">
        <f>'Variation order No.06'!I123</f>
        <v>29</v>
      </c>
      <c r="L891" s="120">
        <f t="shared" ref="L891:L894" si="278">J891+K891</f>
        <v>29</v>
      </c>
      <c r="M891" s="120">
        <f t="shared" ref="M891:M894" si="279">H891*I891</f>
        <v>220.10999999999999</v>
      </c>
      <c r="N891" s="120">
        <f t="shared" ref="N891:N894" si="280">H891*J891</f>
        <v>0</v>
      </c>
      <c r="O891" s="404">
        <f t="shared" ref="O891:O894" si="281">H891*K891</f>
        <v>220.10999999999999</v>
      </c>
      <c r="P891" s="127">
        <f t="shared" ref="P891:P894" si="282">H891*L891</f>
        <v>220.10999999999999</v>
      </c>
    </row>
    <row r="892" spans="1:16" ht="39.75" customHeight="1">
      <c r="A892" s="260"/>
      <c r="B892" s="118"/>
      <c r="C892" s="1355" t="str">
        <f>'Variation order No.06'!A124</f>
        <v>b) Dia 10 mm deformed bars</v>
      </c>
      <c r="D892" s="1356"/>
      <c r="E892" s="1356"/>
      <c r="F892" s="1357"/>
      <c r="G892" s="1044" t="s">
        <v>103</v>
      </c>
      <c r="H892" s="120">
        <v>7.59</v>
      </c>
      <c r="I892" s="417">
        <v>307</v>
      </c>
      <c r="J892" s="120"/>
      <c r="K892" s="404">
        <f>'Variation order No.06'!I124</f>
        <v>307</v>
      </c>
      <c r="L892" s="120">
        <f t="shared" si="278"/>
        <v>307</v>
      </c>
      <c r="M892" s="120">
        <f t="shared" si="279"/>
        <v>2330.13</v>
      </c>
      <c r="N892" s="120">
        <f t="shared" si="280"/>
        <v>0</v>
      </c>
      <c r="O892" s="404">
        <f t="shared" si="281"/>
        <v>2330.13</v>
      </c>
      <c r="P892" s="127">
        <f t="shared" si="282"/>
        <v>2330.13</v>
      </c>
    </row>
    <row r="893" spans="1:16" ht="39.75" customHeight="1">
      <c r="A893" s="260"/>
      <c r="B893" s="118"/>
      <c r="C893" s="1355" t="str">
        <f>'Variation order No.06'!A125</f>
        <v>b) Dia 14 mm deformed bars</v>
      </c>
      <c r="D893" s="1356"/>
      <c r="E893" s="1356"/>
      <c r="F893" s="1357"/>
      <c r="G893" s="1044" t="s">
        <v>103</v>
      </c>
      <c r="H893" s="120">
        <v>5.72</v>
      </c>
      <c r="I893" s="417">
        <v>167</v>
      </c>
      <c r="J893" s="120"/>
      <c r="K893" s="404">
        <f>'Variation order No.06'!I125</f>
        <v>167</v>
      </c>
      <c r="L893" s="120">
        <f t="shared" si="278"/>
        <v>167</v>
      </c>
      <c r="M893" s="120">
        <f t="shared" si="279"/>
        <v>955.24</v>
      </c>
      <c r="N893" s="120">
        <f t="shared" si="280"/>
        <v>0</v>
      </c>
      <c r="O893" s="404">
        <f t="shared" si="281"/>
        <v>955.24</v>
      </c>
      <c r="P893" s="127">
        <f t="shared" si="282"/>
        <v>955.24</v>
      </c>
    </row>
    <row r="894" spans="1:16" ht="39.75" customHeight="1">
      <c r="A894" s="260"/>
      <c r="B894" s="118">
        <v>4</v>
      </c>
      <c r="C894" s="1355" t="str">
        <f>'Variation order No.06'!A127</f>
        <v>4) Block Work</v>
      </c>
      <c r="D894" s="1356"/>
      <c r="E894" s="1356"/>
      <c r="F894" s="1357"/>
      <c r="G894" s="1044"/>
      <c r="H894" s="120"/>
      <c r="I894" s="417"/>
      <c r="J894" s="120"/>
      <c r="K894" s="404"/>
      <c r="L894" s="120">
        <f t="shared" si="278"/>
        <v>0</v>
      </c>
      <c r="M894" s="120">
        <f t="shared" si="279"/>
        <v>0</v>
      </c>
      <c r="N894" s="120">
        <f t="shared" si="280"/>
        <v>0</v>
      </c>
      <c r="O894" s="404">
        <f t="shared" si="281"/>
        <v>0</v>
      </c>
      <c r="P894" s="127">
        <f t="shared" si="282"/>
        <v>0</v>
      </c>
    </row>
    <row r="895" spans="1:16" ht="52.5" customHeight="1">
      <c r="A895" s="260"/>
      <c r="B895" s="118"/>
      <c r="C895" s="1355" t="str">
        <f>'Variation order No.06'!A129</f>
        <v>4.1) Class C. 190mm thick HCB which can satisfy the designed strength, bedded in cement mortar(1:3)  including pointing on both side of wall surface</v>
      </c>
      <c r="D895" s="1356"/>
      <c r="E895" s="1356"/>
      <c r="F895" s="1357"/>
      <c r="G895" s="1044" t="s">
        <v>1183</v>
      </c>
      <c r="H895" s="120">
        <v>324.79000000000002</v>
      </c>
      <c r="I895" s="417">
        <v>16</v>
      </c>
      <c r="J895" s="120"/>
      <c r="K895" s="404">
        <v>16</v>
      </c>
      <c r="L895" s="120">
        <f t="shared" ref="L895:L896" si="283">J895+K895</f>
        <v>16</v>
      </c>
      <c r="M895" s="120">
        <f t="shared" ref="M895:M896" si="284">H895*I895</f>
        <v>5196.6400000000003</v>
      </c>
      <c r="N895" s="120">
        <f t="shared" ref="N895:N896" si="285">H895*J895</f>
        <v>0</v>
      </c>
      <c r="O895" s="404">
        <f t="shared" ref="O895:O896" si="286">H895*K895</f>
        <v>5196.6400000000003</v>
      </c>
      <c r="P895" s="127">
        <f t="shared" ref="P895:P896" si="287">H895*L895</f>
        <v>5196.6400000000003</v>
      </c>
    </row>
    <row r="896" spans="1:16" ht="39.75" customHeight="1">
      <c r="A896" s="260"/>
      <c r="B896" s="118"/>
      <c r="C896" s="1355" t="str">
        <f>'Variation order No.06'!A132</f>
        <v>5) Manholes</v>
      </c>
      <c r="D896" s="1356"/>
      <c r="E896" s="1356"/>
      <c r="F896" s="1357"/>
      <c r="G896" s="1044"/>
      <c r="H896" s="120"/>
      <c r="I896" s="417"/>
      <c r="J896" s="120"/>
      <c r="K896" s="404"/>
      <c r="L896" s="120">
        <f t="shared" si="283"/>
        <v>0</v>
      </c>
      <c r="M896" s="120">
        <f t="shared" si="284"/>
        <v>0</v>
      </c>
      <c r="N896" s="120">
        <f t="shared" si="285"/>
        <v>0</v>
      </c>
      <c r="O896" s="404">
        <f t="shared" si="286"/>
        <v>0</v>
      </c>
      <c r="P896" s="127">
        <f t="shared" si="287"/>
        <v>0</v>
      </c>
    </row>
    <row r="897" spans="1:16" ht="51" customHeight="1">
      <c r="A897" s="260"/>
      <c r="B897" s="118"/>
      <c r="C897" s="1355" t="str">
        <f>'Variation order No.06'!A133</f>
        <v>a) Manholes in bricks and with concrete base internally of 1100x1100 with a depth 900 including reinforced concrete cover with lifting handle.</v>
      </c>
      <c r="D897" s="1356"/>
      <c r="E897" s="1356"/>
      <c r="F897" s="1357"/>
      <c r="G897" s="1044" t="s">
        <v>190</v>
      </c>
      <c r="H897" s="120">
        <v>7927.91</v>
      </c>
      <c r="I897" s="417">
        <v>2</v>
      </c>
      <c r="J897" s="120"/>
      <c r="K897" s="404">
        <v>7927.91</v>
      </c>
      <c r="L897" s="120">
        <f t="shared" ref="L897" si="288">J897+K897</f>
        <v>7927.91</v>
      </c>
      <c r="M897" s="120">
        <f t="shared" ref="M897" si="289">H897*I897</f>
        <v>15855.82</v>
      </c>
      <c r="N897" s="120">
        <f t="shared" ref="N897" si="290">H897*J897</f>
        <v>0</v>
      </c>
      <c r="O897" s="404">
        <f>K897*I897</f>
        <v>15855.82</v>
      </c>
      <c r="P897" s="127">
        <f t="shared" ref="P897" si="291">H897*L897</f>
        <v>62851756.968099996</v>
      </c>
    </row>
    <row r="898" spans="1:16" ht="24" customHeight="1" thickBot="1">
      <c r="A898" s="260"/>
      <c r="B898" s="793"/>
      <c r="C898" s="1219"/>
      <c r="D898" s="795"/>
      <c r="E898" s="795"/>
      <c r="F898" s="795"/>
      <c r="G898" s="802"/>
      <c r="H898" s="796"/>
      <c r="I898" s="797"/>
      <c r="J898" s="796"/>
      <c r="K898" s="747"/>
      <c r="L898" s="798"/>
      <c r="M898" s="798"/>
      <c r="N898" s="798"/>
      <c r="O898" s="747"/>
      <c r="P898" s="1218"/>
    </row>
    <row r="899" spans="1:16" ht="24" customHeight="1" thickTop="1" thickBot="1">
      <c r="A899" s="260"/>
      <c r="B899" s="273"/>
      <c r="C899" s="266" t="s">
        <v>1356</v>
      </c>
      <c r="D899" s="267"/>
      <c r="E899" s="267"/>
      <c r="F899" s="267"/>
      <c r="G899" s="268"/>
      <c r="H899" s="269"/>
      <c r="I899" s="426"/>
      <c r="J899" s="269"/>
      <c r="K899" s="443"/>
      <c r="L899" s="270"/>
      <c r="M899" s="270">
        <f>SUM(M865:M898)</f>
        <v>66005.900850000005</v>
      </c>
      <c r="N899" s="270"/>
      <c r="O899" s="443">
        <f>SUM(O866:O898)</f>
        <v>68623.314087499995</v>
      </c>
      <c r="P899" s="526">
        <f>O899+N899</f>
        <v>68623.314087499995</v>
      </c>
    </row>
    <row r="900" spans="1:16" ht="16.5" customHeight="1" thickTop="1">
      <c r="A900" s="260"/>
      <c r="B900" s="118"/>
      <c r="C900" s="132"/>
      <c r="D900" s="129"/>
      <c r="E900" s="129"/>
      <c r="F900" s="130"/>
      <c r="G900" s="399"/>
      <c r="H900" s="120"/>
      <c r="I900" s="417"/>
      <c r="J900" s="120"/>
      <c r="K900" s="404"/>
      <c r="L900" s="120"/>
      <c r="M900" s="120"/>
      <c r="N900" s="120"/>
      <c r="O900" s="404"/>
      <c r="P900" s="127"/>
    </row>
    <row r="901" spans="1:16" ht="16.5" customHeight="1">
      <c r="A901" s="260"/>
      <c r="B901" s="118"/>
      <c r="C901" s="1249" t="str">
        <f>'Variation order No.06'!F145</f>
        <v>UV- Disinfection</v>
      </c>
      <c r="D901" s="129"/>
      <c r="E901" s="129"/>
      <c r="F901" s="130"/>
      <c r="G901" s="399"/>
      <c r="H901" s="120"/>
      <c r="I901" s="417"/>
      <c r="J901" s="120"/>
      <c r="K901" s="404"/>
      <c r="L901" s="120"/>
      <c r="M901" s="120"/>
      <c r="N901" s="120"/>
      <c r="O901" s="404"/>
      <c r="P901" s="127"/>
    </row>
    <row r="902" spans="1:16" ht="16.5" customHeight="1">
      <c r="A902" s="260"/>
      <c r="B902" s="118"/>
      <c r="C902" s="132"/>
      <c r="D902" s="129"/>
      <c r="E902" s="129"/>
      <c r="F902" s="130"/>
      <c r="G902" s="399"/>
      <c r="H902" s="120"/>
      <c r="I902" s="417"/>
      <c r="J902" s="120"/>
      <c r="K902" s="404"/>
      <c r="L902" s="120"/>
      <c r="M902" s="120"/>
      <c r="N902" s="120"/>
      <c r="O902" s="404"/>
      <c r="P902" s="127"/>
    </row>
    <row r="903" spans="1:16" ht="16.5" customHeight="1">
      <c r="A903" s="260"/>
      <c r="B903" s="118">
        <v>1.1000000000000001</v>
      </c>
      <c r="C903" s="1220" t="str">
        <f>'Variation order No.06'!A149</f>
        <v>1.1) Excavation and Earth Work</v>
      </c>
      <c r="D903" s="129"/>
      <c r="E903" s="129"/>
      <c r="F903" s="130"/>
      <c r="G903" s="399"/>
      <c r="H903" s="120"/>
      <c r="I903" s="417"/>
      <c r="J903" s="120"/>
      <c r="K903" s="404"/>
      <c r="L903" s="120"/>
      <c r="M903" s="120"/>
      <c r="N903" s="120"/>
      <c r="O903" s="404"/>
      <c r="P903" s="127"/>
    </row>
    <row r="904" spans="1:16" ht="39" customHeight="1">
      <c r="A904" s="260"/>
      <c r="B904" s="118" t="s">
        <v>290</v>
      </c>
      <c r="C904" s="1355" t="str">
        <f>'Variation order No.06'!A150</f>
        <v>1.1.1) Bulk excavation in ordinary siol for UV Disinfection to not exceeding 3000 mm</v>
      </c>
      <c r="D904" s="1356"/>
      <c r="E904" s="1356"/>
      <c r="F904" s="1357"/>
      <c r="G904" s="399" t="s">
        <v>273</v>
      </c>
      <c r="H904" s="120">
        <v>83.51</v>
      </c>
      <c r="I904" s="417">
        <v>58.66</v>
      </c>
      <c r="J904" s="120"/>
      <c r="K904" s="404">
        <f>'Variation order No.06'!I152</f>
        <v>114.55979999999998</v>
      </c>
      <c r="L904" s="120">
        <f>K904+J904</f>
        <v>114.55979999999998</v>
      </c>
      <c r="M904" s="120">
        <f>I904*H904</f>
        <v>4898.6966000000002</v>
      </c>
      <c r="N904" s="120"/>
      <c r="O904" s="404">
        <f>K904*H904</f>
        <v>9566.8888979999992</v>
      </c>
      <c r="P904" s="127">
        <f>O904+N904</f>
        <v>9566.8888979999992</v>
      </c>
    </row>
    <row r="905" spans="1:16" ht="39.75" customHeight="1">
      <c r="A905" s="260"/>
      <c r="B905" s="118" t="s">
        <v>291</v>
      </c>
      <c r="C905" s="1355" t="str">
        <f>'Variation order No.06'!A154</f>
        <v>1.1.2) Fill around RC wall in non expansive excavated material to an approprite tirp</v>
      </c>
      <c r="D905" s="1356"/>
      <c r="E905" s="1356"/>
      <c r="F905" s="1357"/>
      <c r="G905" s="399" t="s">
        <v>273</v>
      </c>
      <c r="H905" s="120">
        <v>68.48</v>
      </c>
      <c r="I905" s="417">
        <v>36.99</v>
      </c>
      <c r="J905" s="120"/>
      <c r="K905" s="404">
        <f>'Variation order No.06'!I156</f>
        <v>78.300000000000011</v>
      </c>
      <c r="L905" s="120">
        <f t="shared" ref="L905:L907" si="292">J905+K905</f>
        <v>78.300000000000011</v>
      </c>
      <c r="M905" s="120">
        <f t="shared" ref="M905:M907" si="293">H905*I905</f>
        <v>2533.0752000000002</v>
      </c>
      <c r="N905" s="120">
        <f t="shared" ref="N905:N907" si="294">H905*J905</f>
        <v>0</v>
      </c>
      <c r="O905" s="404">
        <f t="shared" ref="O905:O907" si="295">H905*K905</f>
        <v>5361.9840000000013</v>
      </c>
      <c r="P905" s="127">
        <f t="shared" ref="P905:P907" si="296">H905*L905</f>
        <v>5361.9840000000013</v>
      </c>
    </row>
    <row r="906" spans="1:16" ht="39.75" customHeight="1">
      <c r="A906" s="260"/>
      <c r="B906" s="118" t="s">
        <v>292</v>
      </c>
      <c r="C906" s="1355" t="str">
        <f>'Variation order No.06'!A159</f>
        <v>1.1.3) Load Cart away surplus excavated material to an aproprite trip</v>
      </c>
      <c r="D906" s="1356"/>
      <c r="E906" s="1356"/>
      <c r="F906" s="1357"/>
      <c r="G906" s="399" t="s">
        <v>273</v>
      </c>
      <c r="H906" s="120">
        <v>61.3</v>
      </c>
      <c r="I906" s="417">
        <v>58.66</v>
      </c>
      <c r="J906" s="120"/>
      <c r="K906" s="404">
        <f>'Variation order No.06'!I161</f>
        <v>114.55979999999998</v>
      </c>
      <c r="L906" s="120">
        <f t="shared" si="292"/>
        <v>114.55979999999998</v>
      </c>
      <c r="M906" s="120">
        <f t="shared" si="293"/>
        <v>3595.8579999999997</v>
      </c>
      <c r="N906" s="120">
        <f t="shared" si="294"/>
        <v>0</v>
      </c>
      <c r="O906" s="404">
        <f t="shared" si="295"/>
        <v>7022.5157399999989</v>
      </c>
      <c r="P906" s="127">
        <f t="shared" si="296"/>
        <v>7022.5157399999989</v>
      </c>
    </row>
    <row r="907" spans="1:16" ht="39.75" customHeight="1">
      <c r="A907" s="260"/>
      <c r="B907" s="118">
        <v>1.2</v>
      </c>
      <c r="C907" s="1355" t="str">
        <f>'Variation order No.06'!A163</f>
        <v>1.2) Concrete Work</v>
      </c>
      <c r="D907" s="1356"/>
      <c r="E907" s="1356"/>
      <c r="F907" s="1357"/>
      <c r="G907" s="1044"/>
      <c r="H907" s="120"/>
      <c r="I907" s="417"/>
      <c r="J907" s="120"/>
      <c r="K907" s="404"/>
      <c r="L907" s="120">
        <f t="shared" si="292"/>
        <v>0</v>
      </c>
      <c r="M907" s="120">
        <f t="shared" si="293"/>
        <v>0</v>
      </c>
      <c r="N907" s="120">
        <f t="shared" si="294"/>
        <v>0</v>
      </c>
      <c r="O907" s="404">
        <f t="shared" si="295"/>
        <v>0</v>
      </c>
      <c r="P907" s="127">
        <f t="shared" si="296"/>
        <v>0</v>
      </c>
    </row>
    <row r="908" spans="1:16" ht="39.75" customHeight="1">
      <c r="A908" s="260"/>
      <c r="B908" s="118"/>
      <c r="C908" s="1355" t="str">
        <f>'Variation order No.06'!A164</f>
        <v>1.2.1) 50 mm lean Concrete Work quality C-5</v>
      </c>
      <c r="D908" s="1356"/>
      <c r="E908" s="1356"/>
      <c r="F908" s="1357"/>
      <c r="G908" s="1044"/>
      <c r="J908" s="120"/>
      <c r="N908" s="120">
        <f>H909*J908</f>
        <v>0</v>
      </c>
    </row>
    <row r="909" spans="1:16" ht="39.75" customHeight="1">
      <c r="A909" s="260"/>
      <c r="B909" s="118"/>
      <c r="C909" s="1355" t="str">
        <f>'Variation order No.06'!A165</f>
        <v>a)  Under bottom slab</v>
      </c>
      <c r="D909" s="1356"/>
      <c r="E909" s="1356"/>
      <c r="F909" s="1357"/>
      <c r="G909" s="1044" t="s">
        <v>1183</v>
      </c>
      <c r="H909" s="120">
        <v>102.82</v>
      </c>
      <c r="I909" s="417">
        <v>18.47</v>
      </c>
      <c r="J909" s="120"/>
      <c r="K909" s="404">
        <f>'Variation order No.06'!I170</f>
        <v>18.214400000000001</v>
      </c>
      <c r="L909" s="120">
        <f>J908+K909</f>
        <v>18.214400000000001</v>
      </c>
      <c r="M909" s="120">
        <f>H909*I909</f>
        <v>1899.0853999999997</v>
      </c>
      <c r="N909" s="120"/>
      <c r="O909" s="404">
        <f>H909*K909</f>
        <v>1872.8046079999999</v>
      </c>
      <c r="P909" s="127">
        <f>H909*L909</f>
        <v>1872.8046079999999</v>
      </c>
    </row>
    <row r="910" spans="1:16" ht="39.75" customHeight="1">
      <c r="A910" s="260"/>
      <c r="B910" s="118" t="s">
        <v>299</v>
      </c>
      <c r="C910" s="1355" t="str">
        <f>'Variation order No.06'!A172</f>
        <v>1.2.2) Water tight reinforced concrete quality C-30, 400kg of cement/m3</v>
      </c>
      <c r="D910" s="1356"/>
      <c r="E910" s="1356"/>
      <c r="F910" s="1357"/>
      <c r="G910" s="399"/>
      <c r="H910" s="120"/>
      <c r="I910" s="417"/>
      <c r="J910" s="120"/>
      <c r="K910" s="404">
        <f>'Variation order No.06'!I172</f>
        <v>0</v>
      </c>
      <c r="L910" s="120">
        <f t="shared" ref="L910" si="297">J910+K910</f>
        <v>0</v>
      </c>
      <c r="M910" s="120">
        <f t="shared" ref="M910" si="298">H910*I910</f>
        <v>0</v>
      </c>
      <c r="N910" s="120">
        <f t="shared" ref="N910" si="299">H910*J910</f>
        <v>0</v>
      </c>
      <c r="O910" s="404">
        <f t="shared" ref="O910" si="300">H910*K910</f>
        <v>0</v>
      </c>
      <c r="P910" s="127">
        <f t="shared" ref="P910" si="301">H910*L910</f>
        <v>0</v>
      </c>
    </row>
    <row r="911" spans="1:16" ht="39.75" customHeight="1">
      <c r="A911" s="260"/>
      <c r="B911" s="118"/>
      <c r="C911" s="1355" t="str">
        <f>'Variation order No.06'!A173</f>
        <v>a) In RC 800mm thick bottom slab</v>
      </c>
      <c r="D911" s="1356"/>
      <c r="E911" s="1356"/>
      <c r="F911" s="1357"/>
      <c r="G911" s="399" t="s">
        <v>273</v>
      </c>
      <c r="H911" s="120">
        <v>3683.75</v>
      </c>
      <c r="I911" s="417">
        <v>6.2</v>
      </c>
      <c r="J911" s="120"/>
      <c r="K911" s="404">
        <f>'Variation order No.06'!I180</f>
        <v>6.4374600000000006</v>
      </c>
      <c r="L911" s="120">
        <f t="shared" ref="L911:L917" si="302">J911+K911</f>
        <v>6.4374600000000006</v>
      </c>
      <c r="M911" s="120">
        <f t="shared" ref="M911:M917" si="303">H911*I911</f>
        <v>22839.25</v>
      </c>
      <c r="N911" s="120">
        <f t="shared" ref="N911:N917" si="304">H911*J911</f>
        <v>0</v>
      </c>
      <c r="O911" s="404">
        <f t="shared" ref="O911:O917" si="305">H911*K911</f>
        <v>23713.993275000001</v>
      </c>
      <c r="P911" s="127">
        <f t="shared" ref="P911:P917" si="306">H911*L911</f>
        <v>23713.993275000001</v>
      </c>
    </row>
    <row r="912" spans="1:16" ht="39.75" customHeight="1">
      <c r="A912" s="260"/>
      <c r="B912" s="118"/>
      <c r="C912" s="1355" t="str">
        <f>'Variation order No.06'!A182</f>
        <v>b) In RC 500mm thick bottom slab</v>
      </c>
      <c r="D912" s="1356"/>
      <c r="E912" s="1356"/>
      <c r="F912" s="1357"/>
      <c r="G912" s="399" t="s">
        <v>273</v>
      </c>
      <c r="H912" s="120">
        <v>3683.75</v>
      </c>
      <c r="I912" s="417">
        <v>1.97</v>
      </c>
      <c r="J912" s="120"/>
      <c r="K912" s="404">
        <f>'Variation order No.06'!I184</f>
        <v>1.78125</v>
      </c>
      <c r="L912" s="120">
        <f t="shared" si="302"/>
        <v>1.78125</v>
      </c>
      <c r="M912" s="120">
        <f t="shared" si="303"/>
        <v>7256.9875000000002</v>
      </c>
      <c r="N912" s="120">
        <f t="shared" si="304"/>
        <v>0</v>
      </c>
      <c r="O912" s="404">
        <f t="shared" si="305"/>
        <v>6561.6796875</v>
      </c>
      <c r="P912" s="127">
        <f t="shared" si="306"/>
        <v>6561.6796875</v>
      </c>
    </row>
    <row r="913" spans="1:256" ht="39.75" customHeight="1">
      <c r="A913" s="260"/>
      <c r="B913" s="118"/>
      <c r="C913" s="1355" t="str">
        <f>'Variation order No.06'!A186</f>
        <v>c) In RC 400mm thick bottom slab</v>
      </c>
      <c r="D913" s="1356"/>
      <c r="E913" s="1356"/>
      <c r="F913" s="1357"/>
      <c r="G913" s="399" t="s">
        <v>273</v>
      </c>
      <c r="H913" s="120">
        <v>3683.75</v>
      </c>
      <c r="I913" s="417">
        <v>1.89</v>
      </c>
      <c r="J913" s="120"/>
      <c r="K913" s="404">
        <f>'Variation order No.06'!I188</f>
        <v>1.8954000000000002</v>
      </c>
      <c r="L913" s="120">
        <f t="shared" si="302"/>
        <v>1.8954000000000002</v>
      </c>
      <c r="M913" s="120">
        <f t="shared" si="303"/>
        <v>6962.2874999999995</v>
      </c>
      <c r="N913" s="120">
        <f t="shared" si="304"/>
        <v>0</v>
      </c>
      <c r="O913" s="404">
        <f t="shared" si="305"/>
        <v>6982.1797500000011</v>
      </c>
      <c r="P913" s="127">
        <f t="shared" si="306"/>
        <v>6982.1797500000011</v>
      </c>
    </row>
    <row r="914" spans="1:256" ht="39.75" customHeight="1">
      <c r="A914" s="260"/>
      <c r="B914" s="118"/>
      <c r="C914" s="1355" t="str">
        <f>'Variation order No.06'!A190</f>
        <v>d) In RC 300mm thick bottom slab</v>
      </c>
      <c r="D914" s="1356"/>
      <c r="E914" s="1356"/>
      <c r="F914" s="1357"/>
      <c r="G914" s="399" t="s">
        <v>273</v>
      </c>
      <c r="H914" s="120">
        <v>3683.75</v>
      </c>
      <c r="I914" s="417">
        <v>0.42</v>
      </c>
      <c r="J914" s="120"/>
      <c r="K914" s="404">
        <f>'Variation order No.06'!I192</f>
        <v>0.41579999999999995</v>
      </c>
      <c r="L914" s="120">
        <f t="shared" si="302"/>
        <v>0.41579999999999995</v>
      </c>
      <c r="M914" s="120">
        <f t="shared" si="303"/>
        <v>1547.175</v>
      </c>
      <c r="N914" s="120">
        <f t="shared" si="304"/>
        <v>0</v>
      </c>
      <c r="O914" s="404">
        <f t="shared" si="305"/>
        <v>1531.7032499999998</v>
      </c>
      <c r="P914" s="127">
        <f t="shared" si="306"/>
        <v>1531.7032499999998</v>
      </c>
    </row>
    <row r="915" spans="1:256" ht="39.75" customHeight="1">
      <c r="A915" s="260"/>
      <c r="B915" s="118"/>
      <c r="C915" s="1355" t="str">
        <f>'Variation order No.06'!A194</f>
        <v>e) In RC 250mm thick wall</v>
      </c>
      <c r="D915" s="1356"/>
      <c r="E915" s="1356"/>
      <c r="F915" s="1357"/>
      <c r="G915" s="399" t="s">
        <v>273</v>
      </c>
      <c r="H915" s="120">
        <v>3683.75</v>
      </c>
      <c r="I915" s="417">
        <v>3.66</v>
      </c>
      <c r="J915" s="120"/>
      <c r="K915" s="404">
        <f>'Variation order No.06'!I206</f>
        <v>3.7355125000000005</v>
      </c>
      <c r="L915" s="120">
        <f t="shared" si="302"/>
        <v>3.7355125000000005</v>
      </c>
      <c r="M915" s="120">
        <f t="shared" si="303"/>
        <v>13482.525</v>
      </c>
      <c r="N915" s="120">
        <f t="shared" si="304"/>
        <v>0</v>
      </c>
      <c r="O915" s="404">
        <f t="shared" si="305"/>
        <v>13760.694171875002</v>
      </c>
      <c r="P915" s="127">
        <f t="shared" si="306"/>
        <v>13760.694171875002</v>
      </c>
    </row>
    <row r="916" spans="1:256" ht="39.75" customHeight="1">
      <c r="A916" s="260"/>
      <c r="B916" s="118" t="s">
        <v>302</v>
      </c>
      <c r="C916" s="1355" t="str">
        <f>'Variation order No.06'!A219</f>
        <v>1.2.3) Provide, cut and fix in position swam structural wood or steel form work which ever is approprite.</v>
      </c>
      <c r="D916" s="1356"/>
      <c r="E916" s="1356"/>
      <c r="F916" s="1357"/>
      <c r="G916" s="399"/>
      <c r="H916" s="120"/>
      <c r="I916" s="417"/>
      <c r="J916" s="120"/>
      <c r="K916" s="404"/>
      <c r="L916" s="120">
        <f t="shared" si="302"/>
        <v>0</v>
      </c>
      <c r="M916" s="120">
        <f t="shared" si="303"/>
        <v>0</v>
      </c>
      <c r="N916" s="120">
        <f t="shared" si="304"/>
        <v>0</v>
      </c>
      <c r="O916" s="404">
        <f t="shared" si="305"/>
        <v>0</v>
      </c>
      <c r="P916" s="127">
        <f t="shared" si="306"/>
        <v>0</v>
      </c>
    </row>
    <row r="917" spans="1:256" ht="39.75" customHeight="1">
      <c r="A917" s="260"/>
      <c r="B917" s="118"/>
      <c r="C917" s="1355" t="str">
        <f>'Variation order No.06'!A220</f>
        <v xml:space="preserve">a)  To RC bottom slab </v>
      </c>
      <c r="D917" s="1356"/>
      <c r="E917" s="1356"/>
      <c r="F917" s="1357"/>
      <c r="G917" s="1044" t="s">
        <v>1183</v>
      </c>
      <c r="H917" s="120">
        <v>195.62</v>
      </c>
      <c r="I917" s="417">
        <v>29</v>
      </c>
      <c r="J917" s="120"/>
      <c r="K917" s="404">
        <f>'Variation order No.06'!I232</f>
        <v>11.715</v>
      </c>
      <c r="L917" s="120">
        <f t="shared" si="302"/>
        <v>11.715</v>
      </c>
      <c r="M917" s="120">
        <f t="shared" si="303"/>
        <v>5672.9800000000005</v>
      </c>
      <c r="N917" s="120">
        <f t="shared" si="304"/>
        <v>0</v>
      </c>
      <c r="O917" s="404">
        <f t="shared" si="305"/>
        <v>2291.6882999999998</v>
      </c>
      <c r="P917" s="127">
        <f t="shared" si="306"/>
        <v>2291.6882999999998</v>
      </c>
    </row>
    <row r="918" spans="1:256" ht="39.75" customHeight="1">
      <c r="A918" s="260"/>
      <c r="B918" s="118"/>
      <c r="C918" s="1355" t="str">
        <f>'Variation order No.06'!A234</f>
        <v xml:space="preserve">b)  To 250 mm thick wall </v>
      </c>
      <c r="D918" s="1356"/>
      <c r="E918" s="1356"/>
      <c r="F918" s="1357"/>
      <c r="G918" s="1044" t="s">
        <v>1183</v>
      </c>
      <c r="H918" s="120">
        <v>195.62</v>
      </c>
      <c r="I918" s="417">
        <v>307</v>
      </c>
      <c r="J918" s="120"/>
      <c r="K918" s="404">
        <f>'Variation order No.06'!I243</f>
        <v>29.884100000000004</v>
      </c>
      <c r="L918" s="120">
        <f t="shared" ref="L918:L922" si="307">J918+K918</f>
        <v>29.884100000000004</v>
      </c>
      <c r="M918" s="120">
        <f t="shared" ref="M918:M922" si="308">H918*I918</f>
        <v>60055.340000000004</v>
      </c>
      <c r="N918" s="120">
        <f t="shared" ref="N918:N922" si="309">H918*J918</f>
        <v>0</v>
      </c>
      <c r="O918" s="404">
        <f t="shared" ref="O918:O922" si="310">H918*K918</f>
        <v>5845.9276420000006</v>
      </c>
      <c r="P918" s="127">
        <f t="shared" ref="P918:P922" si="311">H918*L918</f>
        <v>5845.9276420000006</v>
      </c>
    </row>
    <row r="919" spans="1:256" ht="39.75" customHeight="1">
      <c r="A919" s="260"/>
      <c r="B919" s="118" t="s">
        <v>305</v>
      </c>
      <c r="C919" s="1355" t="str">
        <f>'Variation order No.06'!A245</f>
        <v>1.2.4) Mild steel reinforcement according to structural drawings</v>
      </c>
      <c r="D919" s="1356"/>
      <c r="E919" s="1356"/>
      <c r="F919" s="1357"/>
      <c r="G919" s="399"/>
      <c r="H919" s="120"/>
      <c r="I919" s="417"/>
      <c r="J919" s="120"/>
      <c r="K919" s="404">
        <f>'Variation order No.06'!I182</f>
        <v>0</v>
      </c>
      <c r="L919" s="120">
        <f t="shared" si="307"/>
        <v>0</v>
      </c>
      <c r="M919" s="120">
        <f t="shared" si="308"/>
        <v>0</v>
      </c>
      <c r="N919" s="120">
        <f t="shared" si="309"/>
        <v>0</v>
      </c>
      <c r="O919" s="404">
        <f t="shared" si="310"/>
        <v>0</v>
      </c>
      <c r="P919" s="127">
        <f t="shared" si="311"/>
        <v>0</v>
      </c>
    </row>
    <row r="920" spans="1:256" ht="39.75" customHeight="1">
      <c r="A920" s="260"/>
      <c r="B920" s="118"/>
      <c r="C920" s="1355" t="str">
        <f>'Variation order No.06'!A247</f>
        <v>a) Dia 10 mm deformed bars</v>
      </c>
      <c r="D920" s="1356"/>
      <c r="E920" s="1356"/>
      <c r="F920" s="1357"/>
      <c r="G920" s="399" t="s">
        <v>103</v>
      </c>
      <c r="H920" s="120">
        <v>7.59</v>
      </c>
      <c r="I920" s="417">
        <v>6.17</v>
      </c>
      <c r="J920" s="120"/>
      <c r="K920" s="404">
        <f>'Variation order No.06'!I247</f>
        <v>7.44</v>
      </c>
      <c r="L920" s="120">
        <f t="shared" si="307"/>
        <v>7.44</v>
      </c>
      <c r="M920" s="120">
        <f t="shared" si="308"/>
        <v>46.830300000000001</v>
      </c>
      <c r="N920" s="120">
        <f t="shared" si="309"/>
        <v>0</v>
      </c>
      <c r="O920" s="404">
        <f t="shared" si="310"/>
        <v>56.4696</v>
      </c>
      <c r="P920" s="127">
        <f t="shared" si="311"/>
        <v>56.4696</v>
      </c>
    </row>
    <row r="921" spans="1:256" ht="39.75" customHeight="1">
      <c r="A921" s="260"/>
      <c r="B921" s="118"/>
      <c r="C921" s="1355" t="str">
        <f>'Variation order No.06'!A248</f>
        <v>b) Dia 12 mm deformed bars</v>
      </c>
      <c r="D921" s="1356"/>
      <c r="E921" s="1356"/>
      <c r="F921" s="1357"/>
      <c r="G921" s="399" t="s">
        <v>103</v>
      </c>
      <c r="H921" s="120">
        <v>5.72</v>
      </c>
      <c r="I921" s="417">
        <v>1823.31</v>
      </c>
      <c r="J921" s="120"/>
      <c r="K921" s="404">
        <f>'Variation order No.06'!I248</f>
        <v>1678.06</v>
      </c>
      <c r="L921" s="120">
        <f t="shared" si="307"/>
        <v>1678.06</v>
      </c>
      <c r="M921" s="120">
        <f t="shared" si="308"/>
        <v>10429.333199999999</v>
      </c>
      <c r="N921" s="120">
        <f t="shared" si="309"/>
        <v>0</v>
      </c>
      <c r="O921" s="404">
        <f t="shared" si="310"/>
        <v>9598.5031999999992</v>
      </c>
      <c r="P921" s="127">
        <f t="shared" si="311"/>
        <v>9598.5031999999992</v>
      </c>
    </row>
    <row r="922" spans="1:256" ht="39.75" customHeight="1" thickBot="1">
      <c r="A922" s="260"/>
      <c r="B922" s="118"/>
      <c r="C922" s="1355" t="str">
        <f>'Variation order No.06'!A249</f>
        <v>c) Dia 14 mm deformed bars</v>
      </c>
      <c r="D922" s="1356"/>
      <c r="E922" s="1356"/>
      <c r="F922" s="1357"/>
      <c r="G922" s="399" t="s">
        <v>103</v>
      </c>
      <c r="H922" s="120">
        <v>5.72</v>
      </c>
      <c r="I922" s="417">
        <v>21.02</v>
      </c>
      <c r="J922" s="120"/>
      <c r="K922" s="404">
        <f>'Variation order No.06'!I249</f>
        <v>291.85000000000002</v>
      </c>
      <c r="L922" s="120">
        <f t="shared" si="307"/>
        <v>291.85000000000002</v>
      </c>
      <c r="M922" s="120">
        <f t="shared" si="308"/>
        <v>120.23439999999999</v>
      </c>
      <c r="N922" s="120">
        <f t="shared" si="309"/>
        <v>0</v>
      </c>
      <c r="O922" s="404">
        <f t="shared" si="310"/>
        <v>1669.3820000000001</v>
      </c>
      <c r="P922" s="127">
        <f t="shared" si="311"/>
        <v>1669.3820000000001</v>
      </c>
    </row>
    <row r="923" spans="1:256" ht="24" customHeight="1" thickTop="1" thickBot="1">
      <c r="A923" s="260"/>
      <c r="B923" s="273"/>
      <c r="C923" s="266" t="s">
        <v>1355</v>
      </c>
      <c r="D923" s="267"/>
      <c r="E923" s="267"/>
      <c r="F923" s="267"/>
      <c r="G923" s="268"/>
      <c r="H923" s="269"/>
      <c r="I923" s="426"/>
      <c r="J923" s="269"/>
      <c r="K923" s="443"/>
      <c r="L923" s="270"/>
      <c r="M923" s="270">
        <f>SUM(M901:M922)</f>
        <v>141339.6581</v>
      </c>
      <c r="N923" s="270"/>
      <c r="O923" s="443">
        <f>SUM(O901:O922)</f>
        <v>95836.414122374976</v>
      </c>
      <c r="P923" s="526">
        <f>O923+N923</f>
        <v>95836.414122374976</v>
      </c>
    </row>
    <row r="924" spans="1:256" ht="24" customHeight="1" thickTop="1" thickBot="1">
      <c r="A924" s="260"/>
      <c r="B924" s="273"/>
      <c r="C924" s="266"/>
      <c r="D924" s="267"/>
      <c r="E924" s="267"/>
      <c r="F924" s="267"/>
      <c r="G924" s="268"/>
      <c r="H924" s="269"/>
      <c r="I924" s="426"/>
      <c r="J924" s="269"/>
      <c r="K924" s="443"/>
      <c r="L924" s="270"/>
      <c r="M924" s="270"/>
      <c r="N924" s="270"/>
      <c r="O924" s="443"/>
      <c r="P924" s="526"/>
    </row>
    <row r="925" spans="1:256" ht="24" customHeight="1" thickTop="1" thickBot="1">
      <c r="A925" s="260"/>
      <c r="B925" s="273"/>
      <c r="C925" s="266" t="s">
        <v>312</v>
      </c>
      <c r="D925" s="267"/>
      <c r="E925" s="267"/>
      <c r="F925" s="267"/>
      <c r="G925" s="268"/>
      <c r="H925" s="269"/>
      <c r="I925" s="426"/>
      <c r="J925" s="269"/>
      <c r="K925" s="443"/>
      <c r="L925" s="270"/>
      <c r="M925" s="270">
        <f>M923+M899+M863</f>
        <v>214565.85935000001</v>
      </c>
      <c r="N925" s="270"/>
      <c r="O925" s="443">
        <f>O923+O899+O863</f>
        <v>171854.88310987497</v>
      </c>
      <c r="P925" s="526">
        <f>O925+N925</f>
        <v>171854.88310987497</v>
      </c>
    </row>
    <row r="926" spans="1:256" ht="16.5" customHeight="1" thickTop="1">
      <c r="A926" s="260"/>
      <c r="B926" s="118"/>
      <c r="C926" s="132"/>
      <c r="D926" s="129"/>
      <c r="E926" s="129"/>
      <c r="F926" s="130"/>
      <c r="G926" s="399"/>
      <c r="H926" s="120"/>
      <c r="I926" s="417"/>
      <c r="J926" s="120"/>
      <c r="K926" s="404"/>
      <c r="L926" s="120"/>
      <c r="M926" s="120"/>
      <c r="N926" s="120"/>
      <c r="O926" s="404"/>
      <c r="P926" s="127"/>
    </row>
    <row r="927" spans="1:256" ht="16.5" customHeight="1">
      <c r="A927" s="260"/>
      <c r="B927" s="118"/>
      <c r="C927" s="132"/>
      <c r="D927" s="129"/>
      <c r="E927" s="129"/>
      <c r="F927" s="130"/>
      <c r="G927" s="399"/>
      <c r="H927" s="120"/>
      <c r="I927" s="417"/>
      <c r="J927" s="120"/>
      <c r="K927" s="404"/>
      <c r="L927" s="120"/>
      <c r="M927" s="120"/>
      <c r="N927" s="120"/>
      <c r="O927" s="404"/>
      <c r="P927" s="127"/>
    </row>
    <row r="928" spans="1:256" s="610" customFormat="1" ht="24" customHeight="1">
      <c r="A928" s="132"/>
      <c r="B928" s="118" t="s">
        <v>839</v>
      </c>
      <c r="C928" s="132" t="s">
        <v>779</v>
      </c>
      <c r="D928" s="129"/>
      <c r="E928" s="129"/>
      <c r="F928" s="130"/>
      <c r="G928" s="399"/>
      <c r="H928" s="120"/>
      <c r="I928" s="417"/>
      <c r="J928" s="120"/>
      <c r="K928" s="404"/>
      <c r="L928" s="120">
        <f t="shared" ref="L928:L962" si="312">J928+K928</f>
        <v>0</v>
      </c>
      <c r="M928" s="120">
        <f t="shared" ref="M928:M962" si="313">H928*I928</f>
        <v>0</v>
      </c>
      <c r="N928" s="120">
        <f t="shared" ref="N928:N962" si="314">H928*J928</f>
        <v>0</v>
      </c>
      <c r="O928" s="404">
        <f t="shared" ref="O928:O962" si="315">H928*K928</f>
        <v>0</v>
      </c>
      <c r="P928" s="127">
        <f t="shared" ref="P928:P962" si="316">H928*L928</f>
        <v>0</v>
      </c>
      <c r="Q928" s="129"/>
      <c r="R928" s="129"/>
      <c r="S928" s="132"/>
      <c r="T928" s="129"/>
      <c r="U928" s="129"/>
      <c r="V928" s="132"/>
      <c r="W928" s="129"/>
      <c r="X928" s="129"/>
      <c r="Y928" s="132"/>
      <c r="Z928" s="129"/>
      <c r="AA928" s="129"/>
      <c r="AB928" s="132"/>
      <c r="AC928" s="129"/>
      <c r="AD928" s="129"/>
      <c r="AE928" s="132"/>
      <c r="AF928" s="129"/>
      <c r="AG928" s="129"/>
      <c r="AH928" s="132"/>
      <c r="AI928" s="129"/>
      <c r="AJ928" s="129"/>
      <c r="AK928" s="132"/>
      <c r="AL928" s="129"/>
      <c r="AM928" s="129"/>
      <c r="AN928" s="132"/>
      <c r="AO928" s="129"/>
      <c r="AP928" s="129"/>
      <c r="AQ928" s="132"/>
      <c r="AR928" s="129"/>
      <c r="AS928" s="129"/>
      <c r="AT928" s="132"/>
      <c r="AU928" s="129"/>
      <c r="AV928" s="129"/>
      <c r="AW928" s="132"/>
      <c r="AX928" s="129"/>
      <c r="AY928" s="129"/>
      <c r="AZ928" s="132"/>
      <c r="BA928" s="129"/>
      <c r="BB928" s="129"/>
      <c r="BC928" s="132"/>
      <c r="BD928" s="129"/>
      <c r="BE928" s="129"/>
      <c r="BF928" s="132"/>
      <c r="BG928" s="129"/>
      <c r="BH928" s="129"/>
      <c r="BI928" s="132"/>
      <c r="BJ928" s="129"/>
      <c r="BK928" s="129"/>
      <c r="BL928" s="132"/>
      <c r="BM928" s="129"/>
      <c r="BN928" s="129"/>
      <c r="BO928" s="132"/>
      <c r="BP928" s="129"/>
      <c r="BQ928" s="129"/>
      <c r="BR928" s="132"/>
      <c r="BS928" s="129"/>
      <c r="BT928" s="129"/>
      <c r="BU928" s="132"/>
      <c r="BV928" s="129"/>
      <c r="BW928" s="129"/>
      <c r="BX928" s="132"/>
      <c r="BY928" s="129"/>
      <c r="BZ928" s="129"/>
      <c r="CA928" s="132"/>
      <c r="CB928" s="129"/>
      <c r="CC928" s="129"/>
      <c r="CD928" s="132"/>
      <c r="CE928" s="129"/>
      <c r="CF928" s="129"/>
      <c r="CG928" s="132"/>
      <c r="CH928" s="129"/>
      <c r="CI928" s="129"/>
      <c r="CJ928" s="132"/>
      <c r="CK928" s="129"/>
      <c r="CL928" s="129"/>
      <c r="CM928" s="132"/>
      <c r="CN928" s="129"/>
      <c r="CO928" s="129"/>
      <c r="CP928" s="132"/>
      <c r="CQ928" s="129"/>
      <c r="CR928" s="129"/>
      <c r="CS928" s="132"/>
      <c r="CT928" s="129"/>
      <c r="CU928" s="129"/>
      <c r="CV928" s="132"/>
      <c r="CW928" s="129"/>
      <c r="CX928" s="129"/>
      <c r="CY928" s="132"/>
      <c r="CZ928" s="129"/>
      <c r="DA928" s="129"/>
      <c r="DB928" s="132"/>
      <c r="DC928" s="129"/>
      <c r="DD928" s="129"/>
      <c r="DE928" s="132"/>
      <c r="DF928" s="129"/>
      <c r="DG928" s="129"/>
      <c r="DH928" s="132"/>
      <c r="DI928" s="129"/>
      <c r="DJ928" s="129"/>
      <c r="DK928" s="132"/>
      <c r="DL928" s="129"/>
      <c r="DM928" s="129"/>
      <c r="DN928" s="132"/>
      <c r="DO928" s="129"/>
      <c r="DP928" s="129"/>
      <c r="DQ928" s="132"/>
      <c r="DR928" s="129"/>
      <c r="DS928" s="129"/>
      <c r="DT928" s="132"/>
      <c r="DU928" s="129"/>
      <c r="DV928" s="129"/>
      <c r="DW928" s="132"/>
      <c r="DX928" s="129"/>
      <c r="DY928" s="129"/>
      <c r="DZ928" s="132"/>
      <c r="EA928" s="129"/>
      <c r="EB928" s="129"/>
      <c r="EC928" s="132"/>
      <c r="ED928" s="129"/>
      <c r="EE928" s="129"/>
      <c r="EF928" s="132"/>
      <c r="EG928" s="129"/>
      <c r="EH928" s="129"/>
      <c r="EI928" s="132"/>
      <c r="EJ928" s="129"/>
      <c r="EK928" s="129"/>
      <c r="EL928" s="132"/>
      <c r="EM928" s="129"/>
      <c r="EN928" s="129"/>
      <c r="EO928" s="132"/>
      <c r="EP928" s="129"/>
      <c r="EQ928" s="129"/>
      <c r="ER928" s="132"/>
      <c r="ES928" s="129"/>
      <c r="ET928" s="129"/>
      <c r="EU928" s="132"/>
      <c r="EV928" s="129"/>
      <c r="EW928" s="129"/>
      <c r="EX928" s="132"/>
      <c r="EY928" s="129"/>
      <c r="EZ928" s="129"/>
      <c r="FA928" s="132"/>
      <c r="FB928" s="129"/>
      <c r="FC928" s="129"/>
      <c r="FD928" s="132"/>
      <c r="FE928" s="129"/>
      <c r="FF928" s="129"/>
      <c r="FG928" s="132"/>
      <c r="FH928" s="129"/>
      <c r="FI928" s="129"/>
      <c r="FJ928" s="132"/>
      <c r="FK928" s="129"/>
      <c r="FL928" s="129"/>
      <c r="FM928" s="132"/>
      <c r="FN928" s="129"/>
      <c r="FO928" s="129"/>
      <c r="FP928" s="132"/>
      <c r="FQ928" s="129"/>
      <c r="FR928" s="129"/>
      <c r="FS928" s="132"/>
      <c r="FT928" s="129"/>
      <c r="FU928" s="129"/>
      <c r="FV928" s="132"/>
      <c r="FW928" s="129"/>
      <c r="FX928" s="129"/>
      <c r="FY928" s="132"/>
      <c r="FZ928" s="129"/>
      <c r="GA928" s="129"/>
      <c r="GB928" s="132"/>
      <c r="GC928" s="129"/>
      <c r="GD928" s="129"/>
      <c r="GE928" s="132"/>
      <c r="GF928" s="129"/>
      <c r="GG928" s="129"/>
      <c r="GH928" s="132"/>
      <c r="GI928" s="129"/>
      <c r="GJ928" s="129"/>
      <c r="GK928" s="132"/>
      <c r="GL928" s="129"/>
      <c r="GM928" s="129"/>
      <c r="GN928" s="132"/>
      <c r="GO928" s="129"/>
      <c r="GP928" s="129"/>
      <c r="GQ928" s="132"/>
      <c r="GR928" s="129"/>
      <c r="GS928" s="129"/>
      <c r="GT928" s="132"/>
      <c r="GU928" s="129"/>
      <c r="GV928" s="129"/>
      <c r="GW928" s="132"/>
      <c r="GX928" s="129"/>
      <c r="GY928" s="129"/>
      <c r="GZ928" s="132"/>
      <c r="HA928" s="129"/>
      <c r="HB928" s="129"/>
      <c r="HC928" s="132"/>
      <c r="HD928" s="129"/>
      <c r="HE928" s="129"/>
      <c r="HF928" s="132"/>
      <c r="HG928" s="129"/>
      <c r="HH928" s="129"/>
      <c r="HI928" s="132"/>
      <c r="HJ928" s="129"/>
      <c r="HK928" s="129"/>
      <c r="HL928" s="132"/>
      <c r="HM928" s="129"/>
      <c r="HN928" s="129"/>
      <c r="HO928" s="132"/>
      <c r="HP928" s="129"/>
      <c r="HQ928" s="129"/>
      <c r="HR928" s="132"/>
      <c r="HS928" s="129"/>
      <c r="HT928" s="129"/>
      <c r="HU928" s="132"/>
      <c r="HV928" s="129"/>
      <c r="HW928" s="129"/>
      <c r="HX928" s="132"/>
      <c r="HY928" s="129"/>
      <c r="HZ928" s="129"/>
      <c r="IA928" s="132"/>
      <c r="IB928" s="129"/>
      <c r="IC928" s="129"/>
      <c r="ID928" s="132"/>
      <c r="IE928" s="129"/>
      <c r="IF928" s="129"/>
      <c r="IG928" s="132"/>
      <c r="IH928" s="129"/>
      <c r="II928" s="129"/>
      <c r="IJ928" s="132"/>
      <c r="IK928" s="129"/>
      <c r="IL928" s="129"/>
      <c r="IM928" s="132"/>
      <c r="IN928" s="129"/>
      <c r="IO928" s="129"/>
      <c r="IP928" s="132"/>
      <c r="IQ928" s="129"/>
      <c r="IR928" s="129"/>
      <c r="IS928" s="132"/>
      <c r="IT928" s="129"/>
      <c r="IU928" s="129"/>
      <c r="IV928" s="132"/>
    </row>
    <row r="929" spans="1:256" ht="24" customHeight="1">
      <c r="A929" s="132"/>
      <c r="B929" s="118"/>
      <c r="C929" s="132" t="s">
        <v>780</v>
      </c>
      <c r="D929" s="129"/>
      <c r="E929" s="129"/>
      <c r="F929" s="130"/>
      <c r="G929" s="399"/>
      <c r="H929" s="120"/>
      <c r="I929" s="417"/>
      <c r="J929" s="120"/>
      <c r="K929" s="404"/>
      <c r="L929" s="120">
        <f t="shared" si="312"/>
        <v>0</v>
      </c>
      <c r="M929" s="120">
        <f t="shared" si="313"/>
        <v>0</v>
      </c>
      <c r="N929" s="120">
        <f t="shared" si="314"/>
        <v>0</v>
      </c>
      <c r="O929" s="404">
        <f t="shared" si="315"/>
        <v>0</v>
      </c>
      <c r="P929" s="127">
        <f t="shared" si="316"/>
        <v>0</v>
      </c>
      <c r="Q929" s="129"/>
      <c r="R929" s="129"/>
      <c r="S929" s="132"/>
      <c r="T929" s="129"/>
      <c r="U929" s="129"/>
      <c r="V929" s="132"/>
      <c r="W929" s="129"/>
      <c r="X929" s="129"/>
      <c r="Y929" s="132"/>
      <c r="Z929" s="129"/>
      <c r="AA929" s="129"/>
      <c r="AB929" s="132"/>
      <c r="AC929" s="129"/>
      <c r="AD929" s="129"/>
      <c r="AE929" s="132"/>
      <c r="AF929" s="129"/>
      <c r="AG929" s="129"/>
      <c r="AH929" s="132"/>
      <c r="AI929" s="129"/>
      <c r="AJ929" s="129"/>
      <c r="AK929" s="132"/>
      <c r="AL929" s="129"/>
      <c r="AM929" s="129"/>
      <c r="AN929" s="132"/>
      <c r="AO929" s="129"/>
      <c r="AP929" s="129"/>
      <c r="AQ929" s="132"/>
      <c r="AR929" s="129"/>
      <c r="AS929" s="129"/>
      <c r="AT929" s="132"/>
      <c r="AU929" s="129"/>
      <c r="AV929" s="129"/>
      <c r="AW929" s="132"/>
      <c r="AX929" s="129"/>
      <c r="AY929" s="129"/>
      <c r="AZ929" s="132"/>
      <c r="BA929" s="129"/>
      <c r="BB929" s="129"/>
      <c r="BC929" s="132"/>
      <c r="BD929" s="129"/>
      <c r="BE929" s="129"/>
      <c r="BF929" s="132"/>
      <c r="BG929" s="129"/>
      <c r="BH929" s="129"/>
      <c r="BI929" s="132"/>
      <c r="BJ929" s="129"/>
      <c r="BK929" s="129"/>
      <c r="BL929" s="132"/>
      <c r="BM929" s="129"/>
      <c r="BN929" s="129"/>
      <c r="BO929" s="132"/>
      <c r="BP929" s="129"/>
      <c r="BQ929" s="129"/>
      <c r="BR929" s="132"/>
      <c r="BS929" s="129"/>
      <c r="BT929" s="129"/>
      <c r="BU929" s="132"/>
      <c r="BV929" s="129"/>
      <c r="BW929" s="129"/>
      <c r="BX929" s="132"/>
      <c r="BY929" s="129"/>
      <c r="BZ929" s="129"/>
      <c r="CA929" s="132"/>
      <c r="CB929" s="129"/>
      <c r="CC929" s="129"/>
      <c r="CD929" s="132"/>
      <c r="CE929" s="129"/>
      <c r="CF929" s="129"/>
      <c r="CG929" s="132"/>
      <c r="CH929" s="129"/>
      <c r="CI929" s="129"/>
      <c r="CJ929" s="132"/>
      <c r="CK929" s="129"/>
      <c r="CL929" s="129"/>
      <c r="CM929" s="132"/>
      <c r="CN929" s="129"/>
      <c r="CO929" s="129"/>
      <c r="CP929" s="132"/>
      <c r="CQ929" s="129"/>
      <c r="CR929" s="129"/>
      <c r="CS929" s="132"/>
      <c r="CT929" s="129"/>
      <c r="CU929" s="129"/>
      <c r="CV929" s="132"/>
      <c r="CW929" s="129"/>
      <c r="CX929" s="129"/>
      <c r="CY929" s="132"/>
      <c r="CZ929" s="129"/>
      <c r="DA929" s="129"/>
      <c r="DB929" s="132"/>
      <c r="DC929" s="129"/>
      <c r="DD929" s="129"/>
      <c r="DE929" s="132"/>
      <c r="DF929" s="129"/>
      <c r="DG929" s="129"/>
      <c r="DH929" s="132"/>
      <c r="DI929" s="129"/>
      <c r="DJ929" s="129"/>
      <c r="DK929" s="132"/>
      <c r="DL929" s="129"/>
      <c r="DM929" s="129"/>
      <c r="DN929" s="132"/>
      <c r="DO929" s="129"/>
      <c r="DP929" s="129"/>
      <c r="DQ929" s="132"/>
      <c r="DR929" s="129"/>
      <c r="DS929" s="129"/>
      <c r="DT929" s="132"/>
      <c r="DU929" s="129"/>
      <c r="DV929" s="129"/>
      <c r="DW929" s="132"/>
      <c r="DX929" s="129"/>
      <c r="DY929" s="129"/>
      <c r="DZ929" s="132"/>
      <c r="EA929" s="129"/>
      <c r="EB929" s="129"/>
      <c r="EC929" s="132"/>
      <c r="ED929" s="129"/>
      <c r="EE929" s="129"/>
      <c r="EF929" s="132"/>
      <c r="EG929" s="129"/>
      <c r="EH929" s="129"/>
      <c r="EI929" s="132"/>
      <c r="EJ929" s="129"/>
      <c r="EK929" s="129"/>
      <c r="EL929" s="132"/>
      <c r="EM929" s="129"/>
      <c r="EN929" s="129"/>
      <c r="EO929" s="132"/>
      <c r="EP929" s="129"/>
      <c r="EQ929" s="129"/>
      <c r="ER929" s="132"/>
      <c r="ES929" s="129"/>
      <c r="ET929" s="129"/>
      <c r="EU929" s="132"/>
      <c r="EV929" s="129"/>
      <c r="EW929" s="129"/>
      <c r="EX929" s="132"/>
      <c r="EY929" s="129"/>
      <c r="EZ929" s="129"/>
      <c r="FA929" s="132"/>
      <c r="FB929" s="129"/>
      <c r="FC929" s="129"/>
      <c r="FD929" s="132"/>
      <c r="FE929" s="129"/>
      <c r="FF929" s="129"/>
      <c r="FG929" s="132"/>
      <c r="FH929" s="129"/>
      <c r="FI929" s="129"/>
      <c r="FJ929" s="132"/>
      <c r="FK929" s="129"/>
      <c r="FL929" s="129"/>
      <c r="FM929" s="132"/>
      <c r="FN929" s="129"/>
      <c r="FO929" s="129"/>
      <c r="FP929" s="132"/>
      <c r="FQ929" s="129"/>
      <c r="FR929" s="129"/>
      <c r="FS929" s="132"/>
      <c r="FT929" s="129"/>
      <c r="FU929" s="129"/>
      <c r="FV929" s="132"/>
      <c r="FW929" s="129"/>
      <c r="FX929" s="129"/>
      <c r="FY929" s="132"/>
      <c r="FZ929" s="129"/>
      <c r="GA929" s="129"/>
      <c r="GB929" s="132"/>
      <c r="GC929" s="129"/>
      <c r="GD929" s="129"/>
      <c r="GE929" s="132"/>
      <c r="GF929" s="129"/>
      <c r="GG929" s="129"/>
      <c r="GH929" s="132"/>
      <c r="GI929" s="129"/>
      <c r="GJ929" s="129"/>
      <c r="GK929" s="132"/>
      <c r="GL929" s="129"/>
      <c r="GM929" s="129"/>
      <c r="GN929" s="132"/>
      <c r="GO929" s="129"/>
      <c r="GP929" s="129"/>
      <c r="GQ929" s="132"/>
      <c r="GR929" s="129"/>
      <c r="GS929" s="129"/>
      <c r="GT929" s="132"/>
      <c r="GU929" s="129"/>
      <c r="GV929" s="129"/>
      <c r="GW929" s="132"/>
      <c r="GX929" s="129"/>
      <c r="GY929" s="129"/>
      <c r="GZ929" s="132"/>
      <c r="HA929" s="129"/>
      <c r="HB929" s="129"/>
      <c r="HC929" s="132"/>
      <c r="HD929" s="129"/>
      <c r="HE929" s="129"/>
      <c r="HF929" s="132"/>
      <c r="HG929" s="129"/>
      <c r="HH929" s="129"/>
      <c r="HI929" s="132"/>
      <c r="HJ929" s="129"/>
      <c r="HK929" s="129"/>
      <c r="HL929" s="132"/>
      <c r="HM929" s="129"/>
      <c r="HN929" s="129"/>
      <c r="HO929" s="132"/>
      <c r="HP929" s="129"/>
      <c r="HQ929" s="129"/>
      <c r="HR929" s="132"/>
      <c r="HS929" s="129"/>
      <c r="HT929" s="129"/>
      <c r="HU929" s="132"/>
      <c r="HV929" s="129"/>
      <c r="HW929" s="129"/>
      <c r="HX929" s="132"/>
      <c r="HY929" s="129"/>
      <c r="HZ929" s="129"/>
      <c r="IA929" s="132"/>
      <c r="IB929" s="129"/>
      <c r="IC929" s="129"/>
      <c r="ID929" s="132"/>
      <c r="IE929" s="129"/>
      <c r="IF929" s="129"/>
      <c r="IG929" s="132"/>
      <c r="IH929" s="129"/>
      <c r="II929" s="129"/>
      <c r="IJ929" s="132"/>
      <c r="IK929" s="129"/>
      <c r="IL929" s="129"/>
      <c r="IM929" s="132"/>
      <c r="IN929" s="129"/>
      <c r="IO929" s="129"/>
      <c r="IP929" s="132"/>
      <c r="IQ929" s="129"/>
      <c r="IR929" s="129"/>
      <c r="IS929" s="132"/>
      <c r="IT929" s="129"/>
      <c r="IU929" s="129"/>
      <c r="IV929" s="132"/>
    </row>
    <row r="930" spans="1:256" ht="24" customHeight="1">
      <c r="A930" s="156"/>
      <c r="B930" s="118"/>
      <c r="C930" s="132" t="s">
        <v>773</v>
      </c>
      <c r="D930" s="129" t="s">
        <v>781</v>
      </c>
      <c r="E930" s="129"/>
      <c r="F930" s="130"/>
      <c r="G930" s="399"/>
      <c r="H930" s="120"/>
      <c r="I930" s="417"/>
      <c r="J930" s="120"/>
      <c r="K930" s="404"/>
      <c r="L930" s="120">
        <f t="shared" si="312"/>
        <v>0</v>
      </c>
      <c r="M930" s="120">
        <f t="shared" si="313"/>
        <v>0</v>
      </c>
      <c r="N930" s="120">
        <f t="shared" si="314"/>
        <v>0</v>
      </c>
      <c r="O930" s="404">
        <f t="shared" si="315"/>
        <v>0</v>
      </c>
      <c r="P930" s="127">
        <f t="shared" si="316"/>
        <v>0</v>
      </c>
      <c r="Q930" s="159"/>
      <c r="R930" s="159"/>
      <c r="S930" s="156"/>
      <c r="T930" s="159"/>
      <c r="U930" s="159"/>
      <c r="V930" s="156"/>
      <c r="W930" s="159"/>
      <c r="X930" s="159"/>
      <c r="Y930" s="156"/>
      <c r="Z930" s="159"/>
      <c r="AA930" s="159"/>
      <c r="AB930" s="156"/>
      <c r="AC930" s="159"/>
      <c r="AD930" s="159"/>
      <c r="AE930" s="156"/>
      <c r="AF930" s="159"/>
      <c r="AG930" s="159"/>
      <c r="AH930" s="156"/>
      <c r="AI930" s="159"/>
      <c r="AJ930" s="159"/>
      <c r="AK930" s="156"/>
      <c r="AL930" s="159"/>
      <c r="AM930" s="159"/>
      <c r="AN930" s="156"/>
      <c r="AO930" s="159"/>
      <c r="AP930" s="159"/>
      <c r="AQ930" s="156"/>
      <c r="AR930" s="159"/>
      <c r="AS930" s="159"/>
      <c r="AT930" s="156"/>
      <c r="AU930" s="159"/>
      <c r="AV930" s="159"/>
      <c r="AW930" s="156"/>
      <c r="AX930" s="159"/>
      <c r="AY930" s="159"/>
      <c r="AZ930" s="156"/>
      <c r="BA930" s="159"/>
      <c r="BB930" s="159"/>
      <c r="BC930" s="156"/>
      <c r="BD930" s="159"/>
      <c r="BE930" s="159"/>
      <c r="BF930" s="156"/>
      <c r="BG930" s="159"/>
      <c r="BH930" s="159"/>
      <c r="BI930" s="156"/>
      <c r="BJ930" s="159"/>
      <c r="BK930" s="159"/>
      <c r="BL930" s="156"/>
      <c r="BM930" s="159"/>
      <c r="BN930" s="159"/>
      <c r="BO930" s="156"/>
      <c r="BP930" s="159"/>
      <c r="BQ930" s="159"/>
      <c r="BR930" s="156"/>
      <c r="BS930" s="159"/>
      <c r="BT930" s="159"/>
      <c r="BU930" s="156"/>
      <c r="BV930" s="159"/>
      <c r="BW930" s="159"/>
      <c r="BX930" s="156"/>
      <c r="BY930" s="159"/>
      <c r="BZ930" s="159"/>
      <c r="CA930" s="156"/>
      <c r="CB930" s="159"/>
      <c r="CC930" s="159"/>
      <c r="CD930" s="156"/>
      <c r="CE930" s="159"/>
      <c r="CF930" s="159"/>
      <c r="CG930" s="156"/>
      <c r="CH930" s="159"/>
      <c r="CI930" s="159"/>
      <c r="CJ930" s="156"/>
      <c r="CK930" s="159"/>
      <c r="CL930" s="159"/>
      <c r="CM930" s="156"/>
      <c r="CN930" s="159"/>
      <c r="CO930" s="159"/>
      <c r="CP930" s="156"/>
      <c r="CQ930" s="159"/>
      <c r="CR930" s="159"/>
      <c r="CS930" s="156"/>
      <c r="CT930" s="159"/>
      <c r="CU930" s="159"/>
      <c r="CV930" s="156"/>
      <c r="CW930" s="159"/>
      <c r="CX930" s="159"/>
      <c r="CY930" s="156"/>
      <c r="CZ930" s="159"/>
      <c r="DA930" s="159"/>
      <c r="DB930" s="156"/>
      <c r="DC930" s="159"/>
      <c r="DD930" s="159"/>
      <c r="DE930" s="156"/>
      <c r="DF930" s="159"/>
      <c r="DG930" s="159"/>
      <c r="DH930" s="156"/>
      <c r="DI930" s="159"/>
      <c r="DJ930" s="159"/>
      <c r="DK930" s="156"/>
      <c r="DL930" s="159"/>
      <c r="DM930" s="159"/>
      <c r="DN930" s="156"/>
      <c r="DO930" s="159"/>
      <c r="DP930" s="159"/>
      <c r="DQ930" s="156"/>
      <c r="DR930" s="159"/>
      <c r="DS930" s="159"/>
      <c r="DT930" s="156"/>
      <c r="DU930" s="159"/>
      <c r="DV930" s="159"/>
      <c r="DW930" s="156"/>
      <c r="DX930" s="159"/>
      <c r="DY930" s="159"/>
      <c r="DZ930" s="156"/>
      <c r="EA930" s="159"/>
      <c r="EB930" s="159"/>
      <c r="EC930" s="156"/>
      <c r="ED930" s="159"/>
      <c r="EE930" s="159"/>
      <c r="EF930" s="156"/>
      <c r="EG930" s="159"/>
      <c r="EH930" s="159"/>
      <c r="EI930" s="156"/>
      <c r="EJ930" s="159"/>
      <c r="EK930" s="159"/>
      <c r="EL930" s="156"/>
      <c r="EM930" s="159"/>
      <c r="EN930" s="159"/>
      <c r="EO930" s="156"/>
      <c r="EP930" s="159"/>
      <c r="EQ930" s="159"/>
      <c r="ER930" s="156"/>
      <c r="ES930" s="159"/>
      <c r="ET930" s="159"/>
      <c r="EU930" s="156"/>
      <c r="EV930" s="159"/>
      <c r="EW930" s="159"/>
      <c r="EX930" s="156"/>
      <c r="EY930" s="159"/>
      <c r="EZ930" s="159"/>
      <c r="FA930" s="156"/>
      <c r="FB930" s="159"/>
      <c r="FC930" s="159"/>
      <c r="FD930" s="156"/>
      <c r="FE930" s="159"/>
      <c r="FF930" s="159"/>
      <c r="FG930" s="156"/>
      <c r="FH930" s="159"/>
      <c r="FI930" s="159"/>
      <c r="FJ930" s="156"/>
      <c r="FK930" s="159"/>
      <c r="FL930" s="159"/>
      <c r="FM930" s="156"/>
      <c r="FN930" s="159"/>
      <c r="FO930" s="159"/>
      <c r="FP930" s="156"/>
      <c r="FQ930" s="159"/>
      <c r="FR930" s="159"/>
      <c r="FS930" s="156"/>
      <c r="FT930" s="159"/>
      <c r="FU930" s="159"/>
      <c r="FV930" s="156"/>
      <c r="FW930" s="159"/>
      <c r="FX930" s="159"/>
      <c r="FY930" s="156"/>
      <c r="FZ930" s="159"/>
      <c r="GA930" s="159"/>
      <c r="GB930" s="156"/>
      <c r="GC930" s="159"/>
      <c r="GD930" s="159"/>
      <c r="GE930" s="156"/>
      <c r="GF930" s="159"/>
      <c r="GG930" s="159"/>
      <c r="GH930" s="156"/>
      <c r="GI930" s="159"/>
      <c r="GJ930" s="159"/>
      <c r="GK930" s="156"/>
      <c r="GL930" s="159"/>
      <c r="GM930" s="159"/>
      <c r="GN930" s="156"/>
      <c r="GO930" s="159"/>
      <c r="GP930" s="159"/>
      <c r="GQ930" s="156"/>
      <c r="GR930" s="159"/>
      <c r="GS930" s="159"/>
      <c r="GT930" s="156"/>
      <c r="GU930" s="159"/>
      <c r="GV930" s="159"/>
      <c r="GW930" s="156"/>
      <c r="GX930" s="159"/>
      <c r="GY930" s="159"/>
      <c r="GZ930" s="156"/>
      <c r="HA930" s="159"/>
      <c r="HB930" s="159"/>
      <c r="HC930" s="156"/>
      <c r="HD930" s="159"/>
      <c r="HE930" s="159"/>
      <c r="HF930" s="156"/>
      <c r="HG930" s="159"/>
      <c r="HH930" s="159"/>
      <c r="HI930" s="156"/>
      <c r="HJ930" s="159"/>
      <c r="HK930" s="159"/>
      <c r="HL930" s="156"/>
      <c r="HM930" s="159"/>
      <c r="HN930" s="159"/>
      <c r="HO930" s="156"/>
      <c r="HP930" s="159"/>
      <c r="HQ930" s="159"/>
      <c r="HR930" s="156"/>
      <c r="HS930" s="159"/>
      <c r="HT930" s="159"/>
      <c r="HU930" s="156"/>
      <c r="HV930" s="159"/>
      <c r="HW930" s="159"/>
      <c r="HX930" s="156"/>
      <c r="HY930" s="159"/>
      <c r="HZ930" s="159"/>
      <c r="IA930" s="156"/>
      <c r="IB930" s="159"/>
      <c r="IC930" s="159"/>
      <c r="ID930" s="156"/>
      <c r="IE930" s="159"/>
      <c r="IF930" s="159"/>
      <c r="IG930" s="156"/>
      <c r="IH930" s="159"/>
      <c r="II930" s="159"/>
      <c r="IJ930" s="156"/>
      <c r="IK930" s="159"/>
      <c r="IL930" s="159"/>
      <c r="IM930" s="156"/>
      <c r="IN930" s="159"/>
      <c r="IO930" s="159"/>
      <c r="IP930" s="156"/>
      <c r="IQ930" s="159"/>
      <c r="IR930" s="159"/>
      <c r="IS930" s="156"/>
      <c r="IT930" s="159"/>
      <c r="IU930" s="159"/>
      <c r="IV930" s="156"/>
    </row>
    <row r="931" spans="1:256" ht="24" customHeight="1">
      <c r="A931" s="132"/>
      <c r="B931" s="147"/>
      <c r="C931" s="132"/>
      <c r="D931" s="129" t="s">
        <v>782</v>
      </c>
      <c r="E931" s="129"/>
      <c r="F931" s="130"/>
      <c r="G931" s="399" t="s">
        <v>592</v>
      </c>
      <c r="H931" s="120">
        <v>44.76</v>
      </c>
      <c r="I931" s="417">
        <v>363.5</v>
      </c>
      <c r="J931" s="120">
        <v>363.5</v>
      </c>
      <c r="K931" s="404"/>
      <c r="L931" s="120">
        <f t="shared" si="312"/>
        <v>363.5</v>
      </c>
      <c r="M931" s="120">
        <f t="shared" si="313"/>
        <v>16270.259999999998</v>
      </c>
      <c r="N931" s="120">
        <f t="shared" si="314"/>
        <v>16270.259999999998</v>
      </c>
      <c r="O931" s="404">
        <f t="shared" si="315"/>
        <v>0</v>
      </c>
      <c r="P931" s="127">
        <f t="shared" si="316"/>
        <v>16270.259999999998</v>
      </c>
      <c r="Q931" s="129"/>
      <c r="R931" s="129"/>
      <c r="S931" s="132"/>
      <c r="T931" s="129"/>
      <c r="U931" s="129"/>
      <c r="V931" s="132"/>
      <c r="W931" s="129"/>
      <c r="X931" s="129"/>
      <c r="Y931" s="132"/>
      <c r="Z931" s="129"/>
      <c r="AA931" s="129"/>
      <c r="AB931" s="132"/>
      <c r="AC931" s="129"/>
      <c r="AD931" s="129"/>
      <c r="AE931" s="132"/>
      <c r="AF931" s="129"/>
      <c r="AG931" s="129"/>
      <c r="AH931" s="132"/>
      <c r="AI931" s="129"/>
      <c r="AJ931" s="129"/>
      <c r="AK931" s="132"/>
      <c r="AL931" s="129"/>
      <c r="AM931" s="129"/>
      <c r="AN931" s="132"/>
      <c r="AO931" s="129"/>
      <c r="AP931" s="129"/>
      <c r="AQ931" s="132"/>
      <c r="AR931" s="129"/>
      <c r="AS931" s="129"/>
      <c r="AT931" s="132"/>
      <c r="AU931" s="129"/>
      <c r="AV931" s="129"/>
      <c r="AW931" s="132"/>
      <c r="AX931" s="129"/>
      <c r="AY931" s="129"/>
      <c r="AZ931" s="132"/>
      <c r="BA931" s="129"/>
      <c r="BB931" s="129"/>
      <c r="BC931" s="132"/>
      <c r="BD931" s="129"/>
      <c r="BE931" s="129"/>
      <c r="BF931" s="132"/>
      <c r="BG931" s="129"/>
      <c r="BH931" s="129"/>
      <c r="BI931" s="132"/>
      <c r="BJ931" s="129"/>
      <c r="BK931" s="129"/>
      <c r="BL931" s="132"/>
      <c r="BM931" s="129"/>
      <c r="BN931" s="129"/>
      <c r="BO931" s="132"/>
      <c r="BP931" s="129"/>
      <c r="BQ931" s="129"/>
      <c r="BR931" s="132"/>
      <c r="BS931" s="129"/>
      <c r="BT931" s="129"/>
      <c r="BU931" s="132"/>
      <c r="BV931" s="129"/>
      <c r="BW931" s="129"/>
      <c r="BX931" s="132"/>
      <c r="BY931" s="129"/>
      <c r="BZ931" s="129"/>
      <c r="CA931" s="132"/>
      <c r="CB931" s="129"/>
      <c r="CC931" s="129"/>
      <c r="CD931" s="132"/>
      <c r="CE931" s="129"/>
      <c r="CF931" s="129"/>
      <c r="CG931" s="132"/>
      <c r="CH931" s="129"/>
      <c r="CI931" s="129"/>
      <c r="CJ931" s="132"/>
      <c r="CK931" s="129"/>
      <c r="CL931" s="129"/>
      <c r="CM931" s="132"/>
      <c r="CN931" s="129"/>
      <c r="CO931" s="129"/>
      <c r="CP931" s="132"/>
      <c r="CQ931" s="129"/>
      <c r="CR931" s="129"/>
      <c r="CS931" s="132"/>
      <c r="CT931" s="129"/>
      <c r="CU931" s="129"/>
      <c r="CV931" s="132"/>
      <c r="CW931" s="129"/>
      <c r="CX931" s="129"/>
      <c r="CY931" s="132"/>
      <c r="CZ931" s="129"/>
      <c r="DA931" s="129"/>
      <c r="DB931" s="132"/>
      <c r="DC931" s="129"/>
      <c r="DD931" s="129"/>
      <c r="DE931" s="132"/>
      <c r="DF931" s="129"/>
      <c r="DG931" s="129"/>
      <c r="DH931" s="132"/>
      <c r="DI931" s="129"/>
      <c r="DJ931" s="129"/>
      <c r="DK931" s="132"/>
      <c r="DL931" s="129"/>
      <c r="DM931" s="129"/>
      <c r="DN931" s="132"/>
      <c r="DO931" s="129"/>
      <c r="DP931" s="129"/>
      <c r="DQ931" s="132"/>
      <c r="DR931" s="129"/>
      <c r="DS931" s="129"/>
      <c r="DT931" s="132"/>
      <c r="DU931" s="129"/>
      <c r="DV931" s="129"/>
      <c r="DW931" s="132"/>
      <c r="DX931" s="129"/>
      <c r="DY931" s="129"/>
      <c r="DZ931" s="132"/>
      <c r="EA931" s="129"/>
      <c r="EB931" s="129"/>
      <c r="EC931" s="132"/>
      <c r="ED931" s="129"/>
      <c r="EE931" s="129"/>
      <c r="EF931" s="132"/>
      <c r="EG931" s="129"/>
      <c r="EH931" s="129"/>
      <c r="EI931" s="132"/>
      <c r="EJ931" s="129"/>
      <c r="EK931" s="129"/>
      <c r="EL931" s="132"/>
      <c r="EM931" s="129"/>
      <c r="EN931" s="129"/>
      <c r="EO931" s="132"/>
      <c r="EP931" s="129"/>
      <c r="EQ931" s="129"/>
      <c r="ER931" s="132"/>
      <c r="ES931" s="129"/>
      <c r="ET931" s="129"/>
      <c r="EU931" s="132"/>
      <c r="EV931" s="129"/>
      <c r="EW931" s="129"/>
      <c r="EX931" s="132"/>
      <c r="EY931" s="129"/>
      <c r="EZ931" s="129"/>
      <c r="FA931" s="132"/>
      <c r="FB931" s="129"/>
      <c r="FC931" s="129"/>
      <c r="FD931" s="132"/>
      <c r="FE931" s="129"/>
      <c r="FF931" s="129"/>
      <c r="FG931" s="132"/>
      <c r="FH931" s="129"/>
      <c r="FI931" s="129"/>
      <c r="FJ931" s="132"/>
      <c r="FK931" s="129"/>
      <c r="FL931" s="129"/>
      <c r="FM931" s="132"/>
      <c r="FN931" s="129"/>
      <c r="FO931" s="129"/>
      <c r="FP931" s="132"/>
      <c r="FQ931" s="129"/>
      <c r="FR931" s="129"/>
      <c r="FS931" s="132"/>
      <c r="FT931" s="129"/>
      <c r="FU931" s="129"/>
      <c r="FV931" s="132"/>
      <c r="FW931" s="129"/>
      <c r="FX931" s="129"/>
      <c r="FY931" s="132"/>
      <c r="FZ931" s="129"/>
      <c r="GA931" s="129"/>
      <c r="GB931" s="132"/>
      <c r="GC931" s="129"/>
      <c r="GD931" s="129"/>
      <c r="GE931" s="132"/>
      <c r="GF931" s="129"/>
      <c r="GG931" s="129"/>
      <c r="GH931" s="132"/>
      <c r="GI931" s="129"/>
      <c r="GJ931" s="129"/>
      <c r="GK931" s="132"/>
      <c r="GL931" s="129"/>
      <c r="GM931" s="129"/>
      <c r="GN931" s="132"/>
      <c r="GO931" s="129"/>
      <c r="GP931" s="129"/>
      <c r="GQ931" s="132"/>
      <c r="GR931" s="129"/>
      <c r="GS931" s="129"/>
      <c r="GT931" s="132"/>
      <c r="GU931" s="129"/>
      <c r="GV931" s="129"/>
      <c r="GW931" s="132"/>
      <c r="GX931" s="129"/>
      <c r="GY931" s="129"/>
      <c r="GZ931" s="132"/>
      <c r="HA931" s="129"/>
      <c r="HB931" s="129"/>
      <c r="HC931" s="132"/>
      <c r="HD931" s="129"/>
      <c r="HE931" s="129"/>
      <c r="HF931" s="132"/>
      <c r="HG931" s="129"/>
      <c r="HH931" s="129"/>
      <c r="HI931" s="132"/>
      <c r="HJ931" s="129"/>
      <c r="HK931" s="129"/>
      <c r="HL931" s="132"/>
      <c r="HM931" s="129"/>
      <c r="HN931" s="129"/>
      <c r="HO931" s="132"/>
      <c r="HP931" s="129"/>
      <c r="HQ931" s="129"/>
      <c r="HR931" s="132"/>
      <c r="HS931" s="129"/>
      <c r="HT931" s="129"/>
      <c r="HU931" s="132"/>
      <c r="HV931" s="129"/>
      <c r="HW931" s="129"/>
      <c r="HX931" s="132"/>
      <c r="HY931" s="129"/>
      <c r="HZ931" s="129"/>
      <c r="IA931" s="132"/>
      <c r="IB931" s="129"/>
      <c r="IC931" s="129"/>
      <c r="ID931" s="132"/>
      <c r="IE931" s="129"/>
      <c r="IF931" s="129"/>
      <c r="IG931" s="132"/>
      <c r="IH931" s="129"/>
      <c r="II931" s="129"/>
      <c r="IJ931" s="132"/>
      <c r="IK931" s="129"/>
      <c r="IL931" s="129"/>
      <c r="IM931" s="132"/>
      <c r="IN931" s="129"/>
      <c r="IO931" s="129"/>
      <c r="IP931" s="132"/>
      <c r="IQ931" s="129"/>
      <c r="IR931" s="129"/>
      <c r="IS931" s="132"/>
      <c r="IT931" s="129"/>
      <c r="IU931" s="129"/>
      <c r="IV931" s="132"/>
    </row>
    <row r="932" spans="1:256" ht="24" customHeight="1">
      <c r="A932" s="132"/>
      <c r="B932" s="118"/>
      <c r="C932" s="132"/>
      <c r="D932" s="129"/>
      <c r="E932" s="129"/>
      <c r="F932" s="130"/>
      <c r="G932" s="399"/>
      <c r="H932" s="120"/>
      <c r="I932" s="417"/>
      <c r="J932" s="120"/>
      <c r="K932" s="404"/>
      <c r="L932" s="120">
        <f t="shared" si="312"/>
        <v>0</v>
      </c>
      <c r="M932" s="120">
        <f t="shared" si="313"/>
        <v>0</v>
      </c>
      <c r="N932" s="120">
        <f t="shared" si="314"/>
        <v>0</v>
      </c>
      <c r="O932" s="404">
        <f t="shared" si="315"/>
        <v>0</v>
      </c>
      <c r="P932" s="127">
        <f t="shared" si="316"/>
        <v>0</v>
      </c>
      <c r="Q932" s="129"/>
      <c r="R932" s="129"/>
      <c r="S932" s="132"/>
      <c r="T932" s="129"/>
      <c r="U932" s="129"/>
      <c r="V932" s="132"/>
      <c r="W932" s="129"/>
      <c r="X932" s="129"/>
      <c r="Y932" s="132"/>
      <c r="Z932" s="129"/>
      <c r="AA932" s="129"/>
      <c r="AB932" s="132"/>
      <c r="AC932" s="129"/>
      <c r="AD932" s="129"/>
      <c r="AE932" s="132"/>
      <c r="AF932" s="129"/>
      <c r="AG932" s="129"/>
      <c r="AH932" s="132"/>
      <c r="AI932" s="129"/>
      <c r="AJ932" s="129"/>
      <c r="AK932" s="132"/>
      <c r="AL932" s="129"/>
      <c r="AM932" s="129"/>
      <c r="AN932" s="132"/>
      <c r="AO932" s="129"/>
      <c r="AP932" s="129"/>
      <c r="AQ932" s="132"/>
      <c r="AR932" s="129"/>
      <c r="AS932" s="129"/>
      <c r="AT932" s="132"/>
      <c r="AU932" s="129"/>
      <c r="AV932" s="129"/>
      <c r="AW932" s="132"/>
      <c r="AX932" s="129"/>
      <c r="AY932" s="129"/>
      <c r="AZ932" s="132"/>
      <c r="BA932" s="129"/>
      <c r="BB932" s="129"/>
      <c r="BC932" s="132"/>
      <c r="BD932" s="129"/>
      <c r="BE932" s="129"/>
      <c r="BF932" s="132"/>
      <c r="BG932" s="129"/>
      <c r="BH932" s="129"/>
      <c r="BI932" s="132"/>
      <c r="BJ932" s="129"/>
      <c r="BK932" s="129"/>
      <c r="BL932" s="132"/>
      <c r="BM932" s="129"/>
      <c r="BN932" s="129"/>
      <c r="BO932" s="132"/>
      <c r="BP932" s="129"/>
      <c r="BQ932" s="129"/>
      <c r="BR932" s="132"/>
      <c r="BS932" s="129"/>
      <c r="BT932" s="129"/>
      <c r="BU932" s="132"/>
      <c r="BV932" s="129"/>
      <c r="BW932" s="129"/>
      <c r="BX932" s="132"/>
      <c r="BY932" s="129"/>
      <c r="BZ932" s="129"/>
      <c r="CA932" s="132"/>
      <c r="CB932" s="129"/>
      <c r="CC932" s="129"/>
      <c r="CD932" s="132"/>
      <c r="CE932" s="129"/>
      <c r="CF932" s="129"/>
      <c r="CG932" s="132"/>
      <c r="CH932" s="129"/>
      <c r="CI932" s="129"/>
      <c r="CJ932" s="132"/>
      <c r="CK932" s="129"/>
      <c r="CL932" s="129"/>
      <c r="CM932" s="132"/>
      <c r="CN932" s="129"/>
      <c r="CO932" s="129"/>
      <c r="CP932" s="132"/>
      <c r="CQ932" s="129"/>
      <c r="CR932" s="129"/>
      <c r="CS932" s="132"/>
      <c r="CT932" s="129"/>
      <c r="CU932" s="129"/>
      <c r="CV932" s="132"/>
      <c r="CW932" s="129"/>
      <c r="CX932" s="129"/>
      <c r="CY932" s="132"/>
      <c r="CZ932" s="129"/>
      <c r="DA932" s="129"/>
      <c r="DB932" s="132"/>
      <c r="DC932" s="129"/>
      <c r="DD932" s="129"/>
      <c r="DE932" s="132"/>
      <c r="DF932" s="129"/>
      <c r="DG932" s="129"/>
      <c r="DH932" s="132"/>
      <c r="DI932" s="129"/>
      <c r="DJ932" s="129"/>
      <c r="DK932" s="132"/>
      <c r="DL932" s="129"/>
      <c r="DM932" s="129"/>
      <c r="DN932" s="132"/>
      <c r="DO932" s="129"/>
      <c r="DP932" s="129"/>
      <c r="DQ932" s="132"/>
      <c r="DR932" s="129"/>
      <c r="DS932" s="129"/>
      <c r="DT932" s="132"/>
      <c r="DU932" s="129"/>
      <c r="DV932" s="129"/>
      <c r="DW932" s="132"/>
      <c r="DX932" s="129"/>
      <c r="DY932" s="129"/>
      <c r="DZ932" s="132"/>
      <c r="EA932" s="129"/>
      <c r="EB932" s="129"/>
      <c r="EC932" s="132"/>
      <c r="ED932" s="129"/>
      <c r="EE932" s="129"/>
      <c r="EF932" s="132"/>
      <c r="EG932" s="129"/>
      <c r="EH932" s="129"/>
      <c r="EI932" s="132"/>
      <c r="EJ932" s="129"/>
      <c r="EK932" s="129"/>
      <c r="EL932" s="132"/>
      <c r="EM932" s="129"/>
      <c r="EN932" s="129"/>
      <c r="EO932" s="132"/>
      <c r="EP932" s="129"/>
      <c r="EQ932" s="129"/>
      <c r="ER932" s="132"/>
      <c r="ES932" s="129"/>
      <c r="ET932" s="129"/>
      <c r="EU932" s="132"/>
      <c r="EV932" s="129"/>
      <c r="EW932" s="129"/>
      <c r="EX932" s="132"/>
      <c r="EY932" s="129"/>
      <c r="EZ932" s="129"/>
      <c r="FA932" s="132"/>
      <c r="FB932" s="129"/>
      <c r="FC932" s="129"/>
      <c r="FD932" s="132"/>
      <c r="FE932" s="129"/>
      <c r="FF932" s="129"/>
      <c r="FG932" s="132"/>
      <c r="FH932" s="129"/>
      <c r="FI932" s="129"/>
      <c r="FJ932" s="132"/>
      <c r="FK932" s="129"/>
      <c r="FL932" s="129"/>
      <c r="FM932" s="132"/>
      <c r="FN932" s="129"/>
      <c r="FO932" s="129"/>
      <c r="FP932" s="132"/>
      <c r="FQ932" s="129"/>
      <c r="FR932" s="129"/>
      <c r="FS932" s="132"/>
      <c r="FT932" s="129"/>
      <c r="FU932" s="129"/>
      <c r="FV932" s="132"/>
      <c r="FW932" s="129"/>
      <c r="FX932" s="129"/>
      <c r="FY932" s="132"/>
      <c r="FZ932" s="129"/>
      <c r="GA932" s="129"/>
      <c r="GB932" s="132"/>
      <c r="GC932" s="129"/>
      <c r="GD932" s="129"/>
      <c r="GE932" s="132"/>
      <c r="GF932" s="129"/>
      <c r="GG932" s="129"/>
      <c r="GH932" s="132"/>
      <c r="GI932" s="129"/>
      <c r="GJ932" s="129"/>
      <c r="GK932" s="132"/>
      <c r="GL932" s="129"/>
      <c r="GM932" s="129"/>
      <c r="GN932" s="132"/>
      <c r="GO932" s="129"/>
      <c r="GP932" s="129"/>
      <c r="GQ932" s="132"/>
      <c r="GR932" s="129"/>
      <c r="GS932" s="129"/>
      <c r="GT932" s="132"/>
      <c r="GU932" s="129"/>
      <c r="GV932" s="129"/>
      <c r="GW932" s="132"/>
      <c r="GX932" s="129"/>
      <c r="GY932" s="129"/>
      <c r="GZ932" s="132"/>
      <c r="HA932" s="129"/>
      <c r="HB932" s="129"/>
      <c r="HC932" s="132"/>
      <c r="HD932" s="129"/>
      <c r="HE932" s="129"/>
      <c r="HF932" s="132"/>
      <c r="HG932" s="129"/>
      <c r="HH932" s="129"/>
      <c r="HI932" s="132"/>
      <c r="HJ932" s="129"/>
      <c r="HK932" s="129"/>
      <c r="HL932" s="132"/>
      <c r="HM932" s="129"/>
      <c r="HN932" s="129"/>
      <c r="HO932" s="132"/>
      <c r="HP932" s="129"/>
      <c r="HQ932" s="129"/>
      <c r="HR932" s="132"/>
      <c r="HS932" s="129"/>
      <c r="HT932" s="129"/>
      <c r="HU932" s="132"/>
      <c r="HV932" s="129"/>
      <c r="HW932" s="129"/>
      <c r="HX932" s="132"/>
      <c r="HY932" s="129"/>
      <c r="HZ932" s="129"/>
      <c r="IA932" s="132"/>
      <c r="IB932" s="129"/>
      <c r="IC932" s="129"/>
      <c r="ID932" s="132"/>
      <c r="IE932" s="129"/>
      <c r="IF932" s="129"/>
      <c r="IG932" s="132"/>
      <c r="IH932" s="129"/>
      <c r="II932" s="129"/>
      <c r="IJ932" s="132"/>
      <c r="IK932" s="129"/>
      <c r="IL932" s="129"/>
      <c r="IM932" s="132"/>
      <c r="IN932" s="129"/>
      <c r="IO932" s="129"/>
      <c r="IP932" s="132"/>
      <c r="IQ932" s="129"/>
      <c r="IR932" s="129"/>
      <c r="IS932" s="132"/>
      <c r="IT932" s="129"/>
      <c r="IU932" s="129"/>
      <c r="IV932" s="132"/>
    </row>
    <row r="933" spans="1:256" ht="24" customHeight="1">
      <c r="A933" s="156"/>
      <c r="B933" s="118"/>
      <c r="C933" s="132" t="s">
        <v>775</v>
      </c>
      <c r="D933" s="129" t="s">
        <v>783</v>
      </c>
      <c r="E933" s="129"/>
      <c r="F933" s="130"/>
      <c r="G933" s="399"/>
      <c r="H933" s="120"/>
      <c r="I933" s="417"/>
      <c r="J933" s="120"/>
      <c r="K933" s="404"/>
      <c r="L933" s="120">
        <f t="shared" si="312"/>
        <v>0</v>
      </c>
      <c r="M933" s="120">
        <f t="shared" si="313"/>
        <v>0</v>
      </c>
      <c r="N933" s="120">
        <f t="shared" si="314"/>
        <v>0</v>
      </c>
      <c r="O933" s="404">
        <f t="shared" si="315"/>
        <v>0</v>
      </c>
      <c r="P933" s="127">
        <f t="shared" si="316"/>
        <v>0</v>
      </c>
      <c r="Q933" s="159"/>
      <c r="R933" s="159"/>
      <c r="S933" s="156"/>
      <c r="T933" s="159"/>
      <c r="U933" s="159"/>
      <c r="V933" s="156"/>
      <c r="W933" s="159"/>
      <c r="X933" s="159"/>
      <c r="Y933" s="156"/>
      <c r="Z933" s="159"/>
      <c r="AA933" s="159"/>
      <c r="AB933" s="156"/>
      <c r="AC933" s="159"/>
      <c r="AD933" s="159"/>
      <c r="AE933" s="156"/>
      <c r="AF933" s="159"/>
      <c r="AG933" s="159"/>
      <c r="AH933" s="156"/>
      <c r="AI933" s="159"/>
      <c r="AJ933" s="159"/>
      <c r="AK933" s="156"/>
      <c r="AL933" s="159"/>
      <c r="AM933" s="159"/>
      <c r="AN933" s="156"/>
      <c r="AO933" s="159"/>
      <c r="AP933" s="159"/>
      <c r="AQ933" s="156"/>
      <c r="AR933" s="159"/>
      <c r="AS933" s="159"/>
      <c r="AT933" s="156"/>
      <c r="AU933" s="159"/>
      <c r="AV933" s="159"/>
      <c r="AW933" s="156"/>
      <c r="AX933" s="159"/>
      <c r="AY933" s="159"/>
      <c r="AZ933" s="156"/>
      <c r="BA933" s="159"/>
      <c r="BB933" s="159"/>
      <c r="BC933" s="156"/>
      <c r="BD933" s="159"/>
      <c r="BE933" s="159"/>
      <c r="BF933" s="156"/>
      <c r="BG933" s="159"/>
      <c r="BH933" s="159"/>
      <c r="BI933" s="156"/>
      <c r="BJ933" s="159"/>
      <c r="BK933" s="159"/>
      <c r="BL933" s="156"/>
      <c r="BM933" s="159"/>
      <c r="BN933" s="159"/>
      <c r="BO933" s="156"/>
      <c r="BP933" s="159"/>
      <c r="BQ933" s="159"/>
      <c r="BR933" s="156"/>
      <c r="BS933" s="159"/>
      <c r="BT933" s="159"/>
      <c r="BU933" s="156"/>
      <c r="BV933" s="159"/>
      <c r="BW933" s="159"/>
      <c r="BX933" s="156"/>
      <c r="BY933" s="159"/>
      <c r="BZ933" s="159"/>
      <c r="CA933" s="156"/>
      <c r="CB933" s="159"/>
      <c r="CC933" s="159"/>
      <c r="CD933" s="156"/>
      <c r="CE933" s="159"/>
      <c r="CF933" s="159"/>
      <c r="CG933" s="156"/>
      <c r="CH933" s="159"/>
      <c r="CI933" s="159"/>
      <c r="CJ933" s="156"/>
      <c r="CK933" s="159"/>
      <c r="CL933" s="159"/>
      <c r="CM933" s="156"/>
      <c r="CN933" s="159"/>
      <c r="CO933" s="159"/>
      <c r="CP933" s="156"/>
      <c r="CQ933" s="159"/>
      <c r="CR933" s="159"/>
      <c r="CS933" s="156"/>
      <c r="CT933" s="159"/>
      <c r="CU933" s="159"/>
      <c r="CV933" s="156"/>
      <c r="CW933" s="159"/>
      <c r="CX933" s="159"/>
      <c r="CY933" s="156"/>
      <c r="CZ933" s="159"/>
      <c r="DA933" s="159"/>
      <c r="DB933" s="156"/>
      <c r="DC933" s="159"/>
      <c r="DD933" s="159"/>
      <c r="DE933" s="156"/>
      <c r="DF933" s="159"/>
      <c r="DG933" s="159"/>
      <c r="DH933" s="156"/>
      <c r="DI933" s="159"/>
      <c r="DJ933" s="159"/>
      <c r="DK933" s="156"/>
      <c r="DL933" s="159"/>
      <c r="DM933" s="159"/>
      <c r="DN933" s="156"/>
      <c r="DO933" s="159"/>
      <c r="DP933" s="159"/>
      <c r="DQ933" s="156"/>
      <c r="DR933" s="159"/>
      <c r="DS933" s="159"/>
      <c r="DT933" s="156"/>
      <c r="DU933" s="159"/>
      <c r="DV933" s="159"/>
      <c r="DW933" s="156"/>
      <c r="DX933" s="159"/>
      <c r="DY933" s="159"/>
      <c r="DZ933" s="156"/>
      <c r="EA933" s="159"/>
      <c r="EB933" s="159"/>
      <c r="EC933" s="156"/>
      <c r="ED933" s="159"/>
      <c r="EE933" s="159"/>
      <c r="EF933" s="156"/>
      <c r="EG933" s="159"/>
      <c r="EH933" s="159"/>
      <c r="EI933" s="156"/>
      <c r="EJ933" s="159"/>
      <c r="EK933" s="159"/>
      <c r="EL933" s="156"/>
      <c r="EM933" s="159"/>
      <c r="EN933" s="159"/>
      <c r="EO933" s="156"/>
      <c r="EP933" s="159"/>
      <c r="EQ933" s="159"/>
      <c r="ER933" s="156"/>
      <c r="ES933" s="159"/>
      <c r="ET933" s="159"/>
      <c r="EU933" s="156"/>
      <c r="EV933" s="159"/>
      <c r="EW933" s="159"/>
      <c r="EX933" s="156"/>
      <c r="EY933" s="159"/>
      <c r="EZ933" s="159"/>
      <c r="FA933" s="156"/>
      <c r="FB933" s="159"/>
      <c r="FC933" s="159"/>
      <c r="FD933" s="156"/>
      <c r="FE933" s="159"/>
      <c r="FF933" s="159"/>
      <c r="FG933" s="156"/>
      <c r="FH933" s="159"/>
      <c r="FI933" s="159"/>
      <c r="FJ933" s="156"/>
      <c r="FK933" s="159"/>
      <c r="FL933" s="159"/>
      <c r="FM933" s="156"/>
      <c r="FN933" s="159"/>
      <c r="FO933" s="159"/>
      <c r="FP933" s="156"/>
      <c r="FQ933" s="159"/>
      <c r="FR933" s="159"/>
      <c r="FS933" s="156"/>
      <c r="FT933" s="159"/>
      <c r="FU933" s="159"/>
      <c r="FV933" s="156"/>
      <c r="FW933" s="159"/>
      <c r="FX933" s="159"/>
      <c r="FY933" s="156"/>
      <c r="FZ933" s="159"/>
      <c r="GA933" s="159"/>
      <c r="GB933" s="156"/>
      <c r="GC933" s="159"/>
      <c r="GD933" s="159"/>
      <c r="GE933" s="156"/>
      <c r="GF933" s="159"/>
      <c r="GG933" s="159"/>
      <c r="GH933" s="156"/>
      <c r="GI933" s="159"/>
      <c r="GJ933" s="159"/>
      <c r="GK933" s="156"/>
      <c r="GL933" s="159"/>
      <c r="GM933" s="159"/>
      <c r="GN933" s="156"/>
      <c r="GO933" s="159"/>
      <c r="GP933" s="159"/>
      <c r="GQ933" s="156"/>
      <c r="GR933" s="159"/>
      <c r="GS933" s="159"/>
      <c r="GT933" s="156"/>
      <c r="GU933" s="159"/>
      <c r="GV933" s="159"/>
      <c r="GW933" s="156"/>
      <c r="GX933" s="159"/>
      <c r="GY933" s="159"/>
      <c r="GZ933" s="156"/>
      <c r="HA933" s="159"/>
      <c r="HB933" s="159"/>
      <c r="HC933" s="156"/>
      <c r="HD933" s="159"/>
      <c r="HE933" s="159"/>
      <c r="HF933" s="156"/>
      <c r="HG933" s="159"/>
      <c r="HH933" s="159"/>
      <c r="HI933" s="156"/>
      <c r="HJ933" s="159"/>
      <c r="HK933" s="159"/>
      <c r="HL933" s="156"/>
      <c r="HM933" s="159"/>
      <c r="HN933" s="159"/>
      <c r="HO933" s="156"/>
      <c r="HP933" s="159"/>
      <c r="HQ933" s="159"/>
      <c r="HR933" s="156"/>
      <c r="HS933" s="159"/>
      <c r="HT933" s="159"/>
      <c r="HU933" s="156"/>
      <c r="HV933" s="159"/>
      <c r="HW933" s="159"/>
      <c r="HX933" s="156"/>
      <c r="HY933" s="159"/>
      <c r="HZ933" s="159"/>
      <c r="IA933" s="156"/>
      <c r="IB933" s="159"/>
      <c r="IC933" s="159"/>
      <c r="ID933" s="156"/>
      <c r="IE933" s="159"/>
      <c r="IF933" s="159"/>
      <c r="IG933" s="156"/>
      <c r="IH933" s="159"/>
      <c r="II933" s="159"/>
      <c r="IJ933" s="156"/>
      <c r="IK933" s="159"/>
      <c r="IL933" s="159"/>
      <c r="IM933" s="156"/>
      <c r="IN933" s="159"/>
      <c r="IO933" s="159"/>
      <c r="IP933" s="156"/>
      <c r="IQ933" s="159"/>
      <c r="IR933" s="159"/>
      <c r="IS933" s="156"/>
      <c r="IT933" s="159"/>
      <c r="IU933" s="159"/>
      <c r="IV933" s="156"/>
    </row>
    <row r="934" spans="1:256" ht="24" customHeight="1">
      <c r="A934" s="132"/>
      <c r="B934" s="118"/>
      <c r="C934" s="132"/>
      <c r="D934" s="129" t="s">
        <v>782</v>
      </c>
      <c r="E934" s="129"/>
      <c r="F934" s="130"/>
      <c r="G934" s="399" t="s">
        <v>592</v>
      </c>
      <c r="H934" s="120">
        <v>70.62</v>
      </c>
      <c r="I934" s="417">
        <v>362.5</v>
      </c>
      <c r="J934" s="120">
        <v>363.5</v>
      </c>
      <c r="K934" s="404"/>
      <c r="L934" s="120">
        <f t="shared" si="312"/>
        <v>363.5</v>
      </c>
      <c r="M934" s="120">
        <f t="shared" si="313"/>
        <v>25599.75</v>
      </c>
      <c r="N934" s="120">
        <f t="shared" si="314"/>
        <v>25670.370000000003</v>
      </c>
      <c r="O934" s="404">
        <f t="shared" si="315"/>
        <v>0</v>
      </c>
      <c r="P934" s="127">
        <f t="shared" si="316"/>
        <v>25670.370000000003</v>
      </c>
      <c r="Q934" s="129"/>
      <c r="R934" s="129"/>
      <c r="S934" s="132"/>
      <c r="T934" s="129"/>
      <c r="U934" s="129"/>
      <c r="V934" s="132"/>
      <c r="W934" s="129"/>
      <c r="X934" s="129"/>
      <c r="Y934" s="132"/>
      <c r="Z934" s="129"/>
      <c r="AA934" s="129"/>
      <c r="AB934" s="132"/>
      <c r="AC934" s="129"/>
      <c r="AD934" s="129"/>
      <c r="AE934" s="132"/>
      <c r="AF934" s="129"/>
      <c r="AG934" s="129"/>
      <c r="AH934" s="132"/>
      <c r="AI934" s="129"/>
      <c r="AJ934" s="129"/>
      <c r="AK934" s="132"/>
      <c r="AL934" s="129"/>
      <c r="AM934" s="129"/>
      <c r="AN934" s="132"/>
      <c r="AO934" s="129"/>
      <c r="AP934" s="129"/>
      <c r="AQ934" s="132"/>
      <c r="AR934" s="129"/>
      <c r="AS934" s="129"/>
      <c r="AT934" s="132"/>
      <c r="AU934" s="129"/>
      <c r="AV934" s="129"/>
      <c r="AW934" s="132"/>
      <c r="AX934" s="129"/>
      <c r="AY934" s="129"/>
      <c r="AZ934" s="132"/>
      <c r="BA934" s="129"/>
      <c r="BB934" s="129"/>
      <c r="BC934" s="132"/>
      <c r="BD934" s="129"/>
      <c r="BE934" s="129"/>
      <c r="BF934" s="132"/>
      <c r="BG934" s="129"/>
      <c r="BH934" s="129"/>
      <c r="BI934" s="132"/>
      <c r="BJ934" s="129"/>
      <c r="BK934" s="129"/>
      <c r="BL934" s="132"/>
      <c r="BM934" s="129"/>
      <c r="BN934" s="129"/>
      <c r="BO934" s="132"/>
      <c r="BP934" s="129"/>
      <c r="BQ934" s="129"/>
      <c r="BR934" s="132"/>
      <c r="BS934" s="129"/>
      <c r="BT934" s="129"/>
      <c r="BU934" s="132"/>
      <c r="BV934" s="129"/>
      <c r="BW934" s="129"/>
      <c r="BX934" s="132"/>
      <c r="BY934" s="129"/>
      <c r="BZ934" s="129"/>
      <c r="CA934" s="132"/>
      <c r="CB934" s="129"/>
      <c r="CC934" s="129"/>
      <c r="CD934" s="132"/>
      <c r="CE934" s="129"/>
      <c r="CF934" s="129"/>
      <c r="CG934" s="132"/>
      <c r="CH934" s="129"/>
      <c r="CI934" s="129"/>
      <c r="CJ934" s="132"/>
      <c r="CK934" s="129"/>
      <c r="CL934" s="129"/>
      <c r="CM934" s="132"/>
      <c r="CN934" s="129"/>
      <c r="CO934" s="129"/>
      <c r="CP934" s="132"/>
      <c r="CQ934" s="129"/>
      <c r="CR934" s="129"/>
      <c r="CS934" s="132"/>
      <c r="CT934" s="129"/>
      <c r="CU934" s="129"/>
      <c r="CV934" s="132"/>
      <c r="CW934" s="129"/>
      <c r="CX934" s="129"/>
      <c r="CY934" s="132"/>
      <c r="CZ934" s="129"/>
      <c r="DA934" s="129"/>
      <c r="DB934" s="132"/>
      <c r="DC934" s="129"/>
      <c r="DD934" s="129"/>
      <c r="DE934" s="132"/>
      <c r="DF934" s="129"/>
      <c r="DG934" s="129"/>
      <c r="DH934" s="132"/>
      <c r="DI934" s="129"/>
      <c r="DJ934" s="129"/>
      <c r="DK934" s="132"/>
      <c r="DL934" s="129"/>
      <c r="DM934" s="129"/>
      <c r="DN934" s="132"/>
      <c r="DO934" s="129"/>
      <c r="DP934" s="129"/>
      <c r="DQ934" s="132"/>
      <c r="DR934" s="129"/>
      <c r="DS934" s="129"/>
      <c r="DT934" s="132"/>
      <c r="DU934" s="129"/>
      <c r="DV934" s="129"/>
      <c r="DW934" s="132"/>
      <c r="DX934" s="129"/>
      <c r="DY934" s="129"/>
      <c r="DZ934" s="132"/>
      <c r="EA934" s="129"/>
      <c r="EB934" s="129"/>
      <c r="EC934" s="132"/>
      <c r="ED934" s="129"/>
      <c r="EE934" s="129"/>
      <c r="EF934" s="132"/>
      <c r="EG934" s="129"/>
      <c r="EH934" s="129"/>
      <c r="EI934" s="132"/>
      <c r="EJ934" s="129"/>
      <c r="EK934" s="129"/>
      <c r="EL934" s="132"/>
      <c r="EM934" s="129"/>
      <c r="EN934" s="129"/>
      <c r="EO934" s="132"/>
      <c r="EP934" s="129"/>
      <c r="EQ934" s="129"/>
      <c r="ER934" s="132"/>
      <c r="ES934" s="129"/>
      <c r="ET934" s="129"/>
      <c r="EU934" s="132"/>
      <c r="EV934" s="129"/>
      <c r="EW934" s="129"/>
      <c r="EX934" s="132"/>
      <c r="EY934" s="129"/>
      <c r="EZ934" s="129"/>
      <c r="FA934" s="132"/>
      <c r="FB934" s="129"/>
      <c r="FC934" s="129"/>
      <c r="FD934" s="132"/>
      <c r="FE934" s="129"/>
      <c r="FF934" s="129"/>
      <c r="FG934" s="132"/>
      <c r="FH934" s="129"/>
      <c r="FI934" s="129"/>
      <c r="FJ934" s="132"/>
      <c r="FK934" s="129"/>
      <c r="FL934" s="129"/>
      <c r="FM934" s="132"/>
      <c r="FN934" s="129"/>
      <c r="FO934" s="129"/>
      <c r="FP934" s="132"/>
      <c r="FQ934" s="129"/>
      <c r="FR934" s="129"/>
      <c r="FS934" s="132"/>
      <c r="FT934" s="129"/>
      <c r="FU934" s="129"/>
      <c r="FV934" s="132"/>
      <c r="FW934" s="129"/>
      <c r="FX934" s="129"/>
      <c r="FY934" s="132"/>
      <c r="FZ934" s="129"/>
      <c r="GA934" s="129"/>
      <c r="GB934" s="132"/>
      <c r="GC934" s="129"/>
      <c r="GD934" s="129"/>
      <c r="GE934" s="132"/>
      <c r="GF934" s="129"/>
      <c r="GG934" s="129"/>
      <c r="GH934" s="132"/>
      <c r="GI934" s="129"/>
      <c r="GJ934" s="129"/>
      <c r="GK934" s="132"/>
      <c r="GL934" s="129"/>
      <c r="GM934" s="129"/>
      <c r="GN934" s="132"/>
      <c r="GO934" s="129"/>
      <c r="GP934" s="129"/>
      <c r="GQ934" s="132"/>
      <c r="GR934" s="129"/>
      <c r="GS934" s="129"/>
      <c r="GT934" s="132"/>
      <c r="GU934" s="129"/>
      <c r="GV934" s="129"/>
      <c r="GW934" s="132"/>
      <c r="GX934" s="129"/>
      <c r="GY934" s="129"/>
      <c r="GZ934" s="132"/>
      <c r="HA934" s="129"/>
      <c r="HB934" s="129"/>
      <c r="HC934" s="132"/>
      <c r="HD934" s="129"/>
      <c r="HE934" s="129"/>
      <c r="HF934" s="132"/>
      <c r="HG934" s="129"/>
      <c r="HH934" s="129"/>
      <c r="HI934" s="132"/>
      <c r="HJ934" s="129"/>
      <c r="HK934" s="129"/>
      <c r="HL934" s="132"/>
      <c r="HM934" s="129"/>
      <c r="HN934" s="129"/>
      <c r="HO934" s="132"/>
      <c r="HP934" s="129"/>
      <c r="HQ934" s="129"/>
      <c r="HR934" s="132"/>
      <c r="HS934" s="129"/>
      <c r="HT934" s="129"/>
      <c r="HU934" s="132"/>
      <c r="HV934" s="129"/>
      <c r="HW934" s="129"/>
      <c r="HX934" s="132"/>
      <c r="HY934" s="129"/>
      <c r="HZ934" s="129"/>
      <c r="IA934" s="132"/>
      <c r="IB934" s="129"/>
      <c r="IC934" s="129"/>
      <c r="ID934" s="132"/>
      <c r="IE934" s="129"/>
      <c r="IF934" s="129"/>
      <c r="IG934" s="132"/>
      <c r="IH934" s="129"/>
      <c r="II934" s="129"/>
      <c r="IJ934" s="132"/>
      <c r="IK934" s="129"/>
      <c r="IL934" s="129"/>
      <c r="IM934" s="132"/>
      <c r="IN934" s="129"/>
      <c r="IO934" s="129"/>
      <c r="IP934" s="132"/>
      <c r="IQ934" s="129"/>
      <c r="IR934" s="129"/>
      <c r="IS934" s="132"/>
      <c r="IT934" s="129"/>
      <c r="IU934" s="129"/>
      <c r="IV934" s="132"/>
    </row>
    <row r="935" spans="1:256" ht="24" customHeight="1">
      <c r="A935" s="132"/>
      <c r="B935" s="118"/>
      <c r="C935" s="132"/>
      <c r="D935" s="129"/>
      <c r="E935" s="129"/>
      <c r="F935" s="130"/>
      <c r="G935" s="399"/>
      <c r="H935" s="120"/>
      <c r="I935" s="417"/>
      <c r="J935" s="120"/>
      <c r="K935" s="404"/>
      <c r="L935" s="120">
        <f t="shared" si="312"/>
        <v>0</v>
      </c>
      <c r="M935" s="120">
        <f t="shared" si="313"/>
        <v>0</v>
      </c>
      <c r="N935" s="120">
        <f t="shared" si="314"/>
        <v>0</v>
      </c>
      <c r="O935" s="404">
        <f t="shared" si="315"/>
        <v>0</v>
      </c>
      <c r="P935" s="127">
        <f t="shared" si="316"/>
        <v>0</v>
      </c>
      <c r="Q935" s="129"/>
      <c r="R935" s="129"/>
      <c r="S935" s="132"/>
      <c r="T935" s="129"/>
      <c r="U935" s="129"/>
      <c r="V935" s="132"/>
      <c r="W935" s="129"/>
      <c r="X935" s="129"/>
      <c r="Y935" s="132"/>
      <c r="Z935" s="129"/>
      <c r="AA935" s="129"/>
      <c r="AB935" s="132"/>
      <c r="AC935" s="129"/>
      <c r="AD935" s="129"/>
      <c r="AE935" s="132"/>
      <c r="AF935" s="129"/>
      <c r="AG935" s="129"/>
      <c r="AH935" s="132"/>
      <c r="AI935" s="129"/>
      <c r="AJ935" s="129"/>
      <c r="AK935" s="132"/>
      <c r="AL935" s="129"/>
      <c r="AM935" s="129"/>
      <c r="AN935" s="132"/>
      <c r="AO935" s="129"/>
      <c r="AP935" s="129"/>
      <c r="AQ935" s="132"/>
      <c r="AR935" s="129"/>
      <c r="AS935" s="129"/>
      <c r="AT935" s="132"/>
      <c r="AU935" s="129"/>
      <c r="AV935" s="129"/>
      <c r="AW935" s="132"/>
      <c r="AX935" s="129"/>
      <c r="AY935" s="129"/>
      <c r="AZ935" s="132"/>
      <c r="BA935" s="129"/>
      <c r="BB935" s="129"/>
      <c r="BC935" s="132"/>
      <c r="BD935" s="129"/>
      <c r="BE935" s="129"/>
      <c r="BF935" s="132"/>
      <c r="BG935" s="129"/>
      <c r="BH935" s="129"/>
      <c r="BI935" s="132"/>
      <c r="BJ935" s="129"/>
      <c r="BK935" s="129"/>
      <c r="BL935" s="132"/>
      <c r="BM935" s="129"/>
      <c r="BN935" s="129"/>
      <c r="BO935" s="132"/>
      <c r="BP935" s="129"/>
      <c r="BQ935" s="129"/>
      <c r="BR935" s="132"/>
      <c r="BS935" s="129"/>
      <c r="BT935" s="129"/>
      <c r="BU935" s="132"/>
      <c r="BV935" s="129"/>
      <c r="BW935" s="129"/>
      <c r="BX935" s="132"/>
      <c r="BY935" s="129"/>
      <c r="BZ935" s="129"/>
      <c r="CA935" s="132"/>
      <c r="CB935" s="129"/>
      <c r="CC935" s="129"/>
      <c r="CD935" s="132"/>
      <c r="CE935" s="129"/>
      <c r="CF935" s="129"/>
      <c r="CG935" s="132"/>
      <c r="CH935" s="129"/>
      <c r="CI935" s="129"/>
      <c r="CJ935" s="132"/>
      <c r="CK935" s="129"/>
      <c r="CL935" s="129"/>
      <c r="CM935" s="132"/>
      <c r="CN935" s="129"/>
      <c r="CO935" s="129"/>
      <c r="CP935" s="132"/>
      <c r="CQ935" s="129"/>
      <c r="CR935" s="129"/>
      <c r="CS935" s="132"/>
      <c r="CT935" s="129"/>
      <c r="CU935" s="129"/>
      <c r="CV935" s="132"/>
      <c r="CW935" s="129"/>
      <c r="CX935" s="129"/>
      <c r="CY935" s="132"/>
      <c r="CZ935" s="129"/>
      <c r="DA935" s="129"/>
      <c r="DB935" s="132"/>
      <c r="DC935" s="129"/>
      <c r="DD935" s="129"/>
      <c r="DE935" s="132"/>
      <c r="DF935" s="129"/>
      <c r="DG935" s="129"/>
      <c r="DH935" s="132"/>
      <c r="DI935" s="129"/>
      <c r="DJ935" s="129"/>
      <c r="DK935" s="132"/>
      <c r="DL935" s="129"/>
      <c r="DM935" s="129"/>
      <c r="DN935" s="132"/>
      <c r="DO935" s="129"/>
      <c r="DP935" s="129"/>
      <c r="DQ935" s="132"/>
      <c r="DR935" s="129"/>
      <c r="DS935" s="129"/>
      <c r="DT935" s="132"/>
      <c r="DU935" s="129"/>
      <c r="DV935" s="129"/>
      <c r="DW935" s="132"/>
      <c r="DX935" s="129"/>
      <c r="DY935" s="129"/>
      <c r="DZ935" s="132"/>
      <c r="EA935" s="129"/>
      <c r="EB935" s="129"/>
      <c r="EC935" s="132"/>
      <c r="ED935" s="129"/>
      <c r="EE935" s="129"/>
      <c r="EF935" s="132"/>
      <c r="EG935" s="129"/>
      <c r="EH935" s="129"/>
      <c r="EI935" s="132"/>
      <c r="EJ935" s="129"/>
      <c r="EK935" s="129"/>
      <c r="EL935" s="132"/>
      <c r="EM935" s="129"/>
      <c r="EN935" s="129"/>
      <c r="EO935" s="132"/>
      <c r="EP935" s="129"/>
      <c r="EQ935" s="129"/>
      <c r="ER935" s="132"/>
      <c r="ES935" s="129"/>
      <c r="ET935" s="129"/>
      <c r="EU935" s="132"/>
      <c r="EV935" s="129"/>
      <c r="EW935" s="129"/>
      <c r="EX935" s="132"/>
      <c r="EY935" s="129"/>
      <c r="EZ935" s="129"/>
      <c r="FA935" s="132"/>
      <c r="FB935" s="129"/>
      <c r="FC935" s="129"/>
      <c r="FD935" s="132"/>
      <c r="FE935" s="129"/>
      <c r="FF935" s="129"/>
      <c r="FG935" s="132"/>
      <c r="FH935" s="129"/>
      <c r="FI935" s="129"/>
      <c r="FJ935" s="132"/>
      <c r="FK935" s="129"/>
      <c r="FL935" s="129"/>
      <c r="FM935" s="132"/>
      <c r="FN935" s="129"/>
      <c r="FO935" s="129"/>
      <c r="FP935" s="132"/>
      <c r="FQ935" s="129"/>
      <c r="FR935" s="129"/>
      <c r="FS935" s="132"/>
      <c r="FT935" s="129"/>
      <c r="FU935" s="129"/>
      <c r="FV935" s="132"/>
      <c r="FW935" s="129"/>
      <c r="FX935" s="129"/>
      <c r="FY935" s="132"/>
      <c r="FZ935" s="129"/>
      <c r="GA935" s="129"/>
      <c r="GB935" s="132"/>
      <c r="GC935" s="129"/>
      <c r="GD935" s="129"/>
      <c r="GE935" s="132"/>
      <c r="GF935" s="129"/>
      <c r="GG935" s="129"/>
      <c r="GH935" s="132"/>
      <c r="GI935" s="129"/>
      <c r="GJ935" s="129"/>
      <c r="GK935" s="132"/>
      <c r="GL935" s="129"/>
      <c r="GM935" s="129"/>
      <c r="GN935" s="132"/>
      <c r="GO935" s="129"/>
      <c r="GP935" s="129"/>
      <c r="GQ935" s="132"/>
      <c r="GR935" s="129"/>
      <c r="GS935" s="129"/>
      <c r="GT935" s="132"/>
      <c r="GU935" s="129"/>
      <c r="GV935" s="129"/>
      <c r="GW935" s="132"/>
      <c r="GX935" s="129"/>
      <c r="GY935" s="129"/>
      <c r="GZ935" s="132"/>
      <c r="HA935" s="129"/>
      <c r="HB935" s="129"/>
      <c r="HC935" s="132"/>
      <c r="HD935" s="129"/>
      <c r="HE935" s="129"/>
      <c r="HF935" s="132"/>
      <c r="HG935" s="129"/>
      <c r="HH935" s="129"/>
      <c r="HI935" s="132"/>
      <c r="HJ935" s="129"/>
      <c r="HK935" s="129"/>
      <c r="HL935" s="132"/>
      <c r="HM935" s="129"/>
      <c r="HN935" s="129"/>
      <c r="HO935" s="132"/>
      <c r="HP935" s="129"/>
      <c r="HQ935" s="129"/>
      <c r="HR935" s="132"/>
      <c r="HS935" s="129"/>
      <c r="HT935" s="129"/>
      <c r="HU935" s="132"/>
      <c r="HV935" s="129"/>
      <c r="HW935" s="129"/>
      <c r="HX935" s="132"/>
      <c r="HY935" s="129"/>
      <c r="HZ935" s="129"/>
      <c r="IA935" s="132"/>
      <c r="IB935" s="129"/>
      <c r="IC935" s="129"/>
      <c r="ID935" s="132"/>
      <c r="IE935" s="129"/>
      <c r="IF935" s="129"/>
      <c r="IG935" s="132"/>
      <c r="IH935" s="129"/>
      <c r="II935" s="129"/>
      <c r="IJ935" s="132"/>
      <c r="IK935" s="129"/>
      <c r="IL935" s="129"/>
      <c r="IM935" s="132"/>
      <c r="IN935" s="129"/>
      <c r="IO935" s="129"/>
      <c r="IP935" s="132"/>
      <c r="IQ935" s="129"/>
      <c r="IR935" s="129"/>
      <c r="IS935" s="132"/>
      <c r="IT935" s="129"/>
      <c r="IU935" s="129"/>
      <c r="IV935" s="132"/>
    </row>
    <row r="936" spans="1:256" ht="24" customHeight="1">
      <c r="A936" s="156"/>
      <c r="B936" s="147"/>
      <c r="C936" s="132" t="s">
        <v>784</v>
      </c>
      <c r="D936" s="129"/>
      <c r="E936" s="129"/>
      <c r="F936" s="130"/>
      <c r="G936" s="399"/>
      <c r="H936" s="120"/>
      <c r="I936" s="417"/>
      <c r="J936" s="120"/>
      <c r="K936" s="404"/>
      <c r="L936" s="120">
        <f t="shared" si="312"/>
        <v>0</v>
      </c>
      <c r="M936" s="120">
        <f t="shared" si="313"/>
        <v>0</v>
      </c>
      <c r="N936" s="120">
        <f t="shared" si="314"/>
        <v>0</v>
      </c>
      <c r="O936" s="404">
        <f t="shared" si="315"/>
        <v>0</v>
      </c>
      <c r="P936" s="127">
        <f t="shared" si="316"/>
        <v>0</v>
      </c>
      <c r="Q936" s="159"/>
      <c r="R936" s="159"/>
      <c r="S936" s="156"/>
      <c r="T936" s="159"/>
      <c r="U936" s="159"/>
      <c r="V936" s="156"/>
      <c r="W936" s="159"/>
      <c r="X936" s="159"/>
      <c r="Y936" s="156"/>
      <c r="Z936" s="159"/>
      <c r="AA936" s="159"/>
      <c r="AB936" s="156"/>
      <c r="AC936" s="159"/>
      <c r="AD936" s="159"/>
      <c r="AE936" s="156"/>
      <c r="AF936" s="159"/>
      <c r="AG936" s="159"/>
      <c r="AH936" s="156"/>
      <c r="AI936" s="159"/>
      <c r="AJ936" s="159"/>
      <c r="AK936" s="156"/>
      <c r="AL936" s="159"/>
      <c r="AM936" s="159"/>
      <c r="AN936" s="156"/>
      <c r="AO936" s="159"/>
      <c r="AP936" s="159"/>
      <c r="AQ936" s="156"/>
      <c r="AR936" s="159"/>
      <c r="AS936" s="159"/>
      <c r="AT936" s="156"/>
      <c r="AU936" s="159"/>
      <c r="AV936" s="159"/>
      <c r="AW936" s="156"/>
      <c r="AX936" s="159"/>
      <c r="AY936" s="159"/>
      <c r="AZ936" s="156"/>
      <c r="BA936" s="159"/>
      <c r="BB936" s="159"/>
      <c r="BC936" s="156"/>
      <c r="BD936" s="159"/>
      <c r="BE936" s="159"/>
      <c r="BF936" s="156"/>
      <c r="BG936" s="159"/>
      <c r="BH936" s="159"/>
      <c r="BI936" s="156"/>
      <c r="BJ936" s="159"/>
      <c r="BK936" s="159"/>
      <c r="BL936" s="156"/>
      <c r="BM936" s="159"/>
      <c r="BN936" s="159"/>
      <c r="BO936" s="156"/>
      <c r="BP936" s="159"/>
      <c r="BQ936" s="159"/>
      <c r="BR936" s="156"/>
      <c r="BS936" s="159"/>
      <c r="BT936" s="159"/>
      <c r="BU936" s="156"/>
      <c r="BV936" s="159"/>
      <c r="BW936" s="159"/>
      <c r="BX936" s="156"/>
      <c r="BY936" s="159"/>
      <c r="BZ936" s="159"/>
      <c r="CA936" s="156"/>
      <c r="CB936" s="159"/>
      <c r="CC936" s="159"/>
      <c r="CD936" s="156"/>
      <c r="CE936" s="159"/>
      <c r="CF936" s="159"/>
      <c r="CG936" s="156"/>
      <c r="CH936" s="159"/>
      <c r="CI936" s="159"/>
      <c r="CJ936" s="156"/>
      <c r="CK936" s="159"/>
      <c r="CL936" s="159"/>
      <c r="CM936" s="156"/>
      <c r="CN936" s="159"/>
      <c r="CO936" s="159"/>
      <c r="CP936" s="156"/>
      <c r="CQ936" s="159"/>
      <c r="CR936" s="159"/>
      <c r="CS936" s="156"/>
      <c r="CT936" s="159"/>
      <c r="CU936" s="159"/>
      <c r="CV936" s="156"/>
      <c r="CW936" s="159"/>
      <c r="CX936" s="159"/>
      <c r="CY936" s="156"/>
      <c r="CZ936" s="159"/>
      <c r="DA936" s="159"/>
      <c r="DB936" s="156"/>
      <c r="DC936" s="159"/>
      <c r="DD936" s="159"/>
      <c r="DE936" s="156"/>
      <c r="DF936" s="159"/>
      <c r="DG936" s="159"/>
      <c r="DH936" s="156"/>
      <c r="DI936" s="159"/>
      <c r="DJ936" s="159"/>
      <c r="DK936" s="156"/>
      <c r="DL936" s="159"/>
      <c r="DM936" s="159"/>
      <c r="DN936" s="156"/>
      <c r="DO936" s="159"/>
      <c r="DP936" s="159"/>
      <c r="DQ936" s="156"/>
      <c r="DR936" s="159"/>
      <c r="DS936" s="159"/>
      <c r="DT936" s="156"/>
      <c r="DU936" s="159"/>
      <c r="DV936" s="159"/>
      <c r="DW936" s="156"/>
      <c r="DX936" s="159"/>
      <c r="DY936" s="159"/>
      <c r="DZ936" s="156"/>
      <c r="EA936" s="159"/>
      <c r="EB936" s="159"/>
      <c r="EC936" s="156"/>
      <c r="ED936" s="159"/>
      <c r="EE936" s="159"/>
      <c r="EF936" s="156"/>
      <c r="EG936" s="159"/>
      <c r="EH936" s="159"/>
      <c r="EI936" s="156"/>
      <c r="EJ936" s="159"/>
      <c r="EK936" s="159"/>
      <c r="EL936" s="156"/>
      <c r="EM936" s="159"/>
      <c r="EN936" s="159"/>
      <c r="EO936" s="156"/>
      <c r="EP936" s="159"/>
      <c r="EQ936" s="159"/>
      <c r="ER936" s="156"/>
      <c r="ES936" s="159"/>
      <c r="ET936" s="159"/>
      <c r="EU936" s="156"/>
      <c r="EV936" s="159"/>
      <c r="EW936" s="159"/>
      <c r="EX936" s="156"/>
      <c r="EY936" s="159"/>
      <c r="EZ936" s="159"/>
      <c r="FA936" s="156"/>
      <c r="FB936" s="159"/>
      <c r="FC936" s="159"/>
      <c r="FD936" s="156"/>
      <c r="FE936" s="159"/>
      <c r="FF936" s="159"/>
      <c r="FG936" s="156"/>
      <c r="FH936" s="159"/>
      <c r="FI936" s="159"/>
      <c r="FJ936" s="156"/>
      <c r="FK936" s="159"/>
      <c r="FL936" s="159"/>
      <c r="FM936" s="156"/>
      <c r="FN936" s="159"/>
      <c r="FO936" s="159"/>
      <c r="FP936" s="156"/>
      <c r="FQ936" s="159"/>
      <c r="FR936" s="159"/>
      <c r="FS936" s="156"/>
      <c r="FT936" s="159"/>
      <c r="FU936" s="159"/>
      <c r="FV936" s="156"/>
      <c r="FW936" s="159"/>
      <c r="FX936" s="159"/>
      <c r="FY936" s="156"/>
      <c r="FZ936" s="159"/>
      <c r="GA936" s="159"/>
      <c r="GB936" s="156"/>
      <c r="GC936" s="159"/>
      <c r="GD936" s="159"/>
      <c r="GE936" s="156"/>
      <c r="GF936" s="159"/>
      <c r="GG936" s="159"/>
      <c r="GH936" s="156"/>
      <c r="GI936" s="159"/>
      <c r="GJ936" s="159"/>
      <c r="GK936" s="156"/>
      <c r="GL936" s="159"/>
      <c r="GM936" s="159"/>
      <c r="GN936" s="156"/>
      <c r="GO936" s="159"/>
      <c r="GP936" s="159"/>
      <c r="GQ936" s="156"/>
      <c r="GR936" s="159"/>
      <c r="GS936" s="159"/>
      <c r="GT936" s="156"/>
      <c r="GU936" s="159"/>
      <c r="GV936" s="159"/>
      <c r="GW936" s="156"/>
      <c r="GX936" s="159"/>
      <c r="GY936" s="159"/>
      <c r="GZ936" s="156"/>
      <c r="HA936" s="159"/>
      <c r="HB936" s="159"/>
      <c r="HC936" s="156"/>
      <c r="HD936" s="159"/>
      <c r="HE936" s="159"/>
      <c r="HF936" s="156"/>
      <c r="HG936" s="159"/>
      <c r="HH936" s="159"/>
      <c r="HI936" s="156"/>
      <c r="HJ936" s="159"/>
      <c r="HK936" s="159"/>
      <c r="HL936" s="156"/>
      <c r="HM936" s="159"/>
      <c r="HN936" s="159"/>
      <c r="HO936" s="156"/>
      <c r="HP936" s="159"/>
      <c r="HQ936" s="159"/>
      <c r="HR936" s="156"/>
      <c r="HS936" s="159"/>
      <c r="HT936" s="159"/>
      <c r="HU936" s="156"/>
      <c r="HV936" s="159"/>
      <c r="HW936" s="159"/>
      <c r="HX936" s="156"/>
      <c r="HY936" s="159"/>
      <c r="HZ936" s="159"/>
      <c r="IA936" s="156"/>
      <c r="IB936" s="159"/>
      <c r="IC936" s="159"/>
      <c r="ID936" s="156"/>
      <c r="IE936" s="159"/>
      <c r="IF936" s="159"/>
      <c r="IG936" s="156"/>
      <c r="IH936" s="159"/>
      <c r="II936" s="159"/>
      <c r="IJ936" s="156"/>
      <c r="IK936" s="159"/>
      <c r="IL936" s="159"/>
      <c r="IM936" s="156"/>
      <c r="IN936" s="159"/>
      <c r="IO936" s="159"/>
      <c r="IP936" s="156"/>
      <c r="IQ936" s="159"/>
      <c r="IR936" s="159"/>
      <c r="IS936" s="156"/>
      <c r="IT936" s="159"/>
      <c r="IU936" s="159"/>
      <c r="IV936" s="156"/>
    </row>
    <row r="937" spans="1:256" ht="24" customHeight="1">
      <c r="A937" s="132"/>
      <c r="B937" s="118"/>
      <c r="C937" s="132" t="s">
        <v>773</v>
      </c>
      <c r="D937" s="129" t="s">
        <v>785</v>
      </c>
      <c r="E937" s="129"/>
      <c r="F937" s="130"/>
      <c r="G937" s="399"/>
      <c r="H937" s="120"/>
      <c r="I937" s="417"/>
      <c r="J937" s="120"/>
      <c r="K937" s="404"/>
      <c r="L937" s="120">
        <f t="shared" si="312"/>
        <v>0</v>
      </c>
      <c r="M937" s="120">
        <f t="shared" si="313"/>
        <v>0</v>
      </c>
      <c r="N937" s="120">
        <f t="shared" si="314"/>
        <v>0</v>
      </c>
      <c r="O937" s="404">
        <f t="shared" si="315"/>
        <v>0</v>
      </c>
      <c r="P937" s="127">
        <f t="shared" si="316"/>
        <v>0</v>
      </c>
      <c r="Q937" s="129"/>
      <c r="R937" s="129"/>
      <c r="S937" s="132"/>
      <c r="T937" s="129"/>
      <c r="U937" s="129"/>
      <c r="V937" s="132"/>
      <c r="W937" s="129"/>
      <c r="X937" s="129"/>
      <c r="Y937" s="132"/>
      <c r="Z937" s="129"/>
      <c r="AA937" s="129"/>
      <c r="AB937" s="132"/>
      <c r="AC937" s="129"/>
      <c r="AD937" s="129"/>
      <c r="AE937" s="132"/>
      <c r="AF937" s="129"/>
      <c r="AG937" s="129"/>
      <c r="AH937" s="132"/>
      <c r="AI937" s="129"/>
      <c r="AJ937" s="129"/>
      <c r="AK937" s="132"/>
      <c r="AL937" s="129"/>
      <c r="AM937" s="129"/>
      <c r="AN937" s="132"/>
      <c r="AO937" s="129"/>
      <c r="AP937" s="129"/>
      <c r="AQ937" s="132"/>
      <c r="AR937" s="129"/>
      <c r="AS937" s="129"/>
      <c r="AT937" s="132"/>
      <c r="AU937" s="129"/>
      <c r="AV937" s="129"/>
      <c r="AW937" s="132"/>
      <c r="AX937" s="129"/>
      <c r="AY937" s="129"/>
      <c r="AZ937" s="132"/>
      <c r="BA937" s="129"/>
      <c r="BB937" s="129"/>
      <c r="BC937" s="132"/>
      <c r="BD937" s="129"/>
      <c r="BE937" s="129"/>
      <c r="BF937" s="132"/>
      <c r="BG937" s="129"/>
      <c r="BH937" s="129"/>
      <c r="BI937" s="132"/>
      <c r="BJ937" s="129"/>
      <c r="BK937" s="129"/>
      <c r="BL937" s="132"/>
      <c r="BM937" s="129"/>
      <c r="BN937" s="129"/>
      <c r="BO937" s="132"/>
      <c r="BP937" s="129"/>
      <c r="BQ937" s="129"/>
      <c r="BR937" s="132"/>
      <c r="BS937" s="129"/>
      <c r="BT937" s="129"/>
      <c r="BU937" s="132"/>
      <c r="BV937" s="129"/>
      <c r="BW937" s="129"/>
      <c r="BX937" s="132"/>
      <c r="BY937" s="129"/>
      <c r="BZ937" s="129"/>
      <c r="CA937" s="132"/>
      <c r="CB937" s="129"/>
      <c r="CC937" s="129"/>
      <c r="CD937" s="132"/>
      <c r="CE937" s="129"/>
      <c r="CF937" s="129"/>
      <c r="CG937" s="132"/>
      <c r="CH937" s="129"/>
      <c r="CI937" s="129"/>
      <c r="CJ937" s="132"/>
      <c r="CK937" s="129"/>
      <c r="CL937" s="129"/>
      <c r="CM937" s="132"/>
      <c r="CN937" s="129"/>
      <c r="CO937" s="129"/>
      <c r="CP937" s="132"/>
      <c r="CQ937" s="129"/>
      <c r="CR937" s="129"/>
      <c r="CS937" s="132"/>
      <c r="CT937" s="129"/>
      <c r="CU937" s="129"/>
      <c r="CV937" s="132"/>
      <c r="CW937" s="129"/>
      <c r="CX937" s="129"/>
      <c r="CY937" s="132"/>
      <c r="CZ937" s="129"/>
      <c r="DA937" s="129"/>
      <c r="DB937" s="132"/>
      <c r="DC937" s="129"/>
      <c r="DD937" s="129"/>
      <c r="DE937" s="132"/>
      <c r="DF937" s="129"/>
      <c r="DG937" s="129"/>
      <c r="DH937" s="132"/>
      <c r="DI937" s="129"/>
      <c r="DJ937" s="129"/>
      <c r="DK937" s="132"/>
      <c r="DL937" s="129"/>
      <c r="DM937" s="129"/>
      <c r="DN937" s="132"/>
      <c r="DO937" s="129"/>
      <c r="DP937" s="129"/>
      <c r="DQ937" s="132"/>
      <c r="DR937" s="129"/>
      <c r="DS937" s="129"/>
      <c r="DT937" s="132"/>
      <c r="DU937" s="129"/>
      <c r="DV937" s="129"/>
      <c r="DW937" s="132"/>
      <c r="DX937" s="129"/>
      <c r="DY937" s="129"/>
      <c r="DZ937" s="132"/>
      <c r="EA937" s="129"/>
      <c r="EB937" s="129"/>
      <c r="EC937" s="132"/>
      <c r="ED937" s="129"/>
      <c r="EE937" s="129"/>
      <c r="EF937" s="132"/>
      <c r="EG937" s="129"/>
      <c r="EH937" s="129"/>
      <c r="EI937" s="132"/>
      <c r="EJ937" s="129"/>
      <c r="EK937" s="129"/>
      <c r="EL937" s="132"/>
      <c r="EM937" s="129"/>
      <c r="EN937" s="129"/>
      <c r="EO937" s="132"/>
      <c r="EP937" s="129"/>
      <c r="EQ937" s="129"/>
      <c r="ER937" s="132"/>
      <c r="ES937" s="129"/>
      <c r="ET937" s="129"/>
      <c r="EU937" s="132"/>
      <c r="EV937" s="129"/>
      <c r="EW937" s="129"/>
      <c r="EX937" s="132"/>
      <c r="EY937" s="129"/>
      <c r="EZ937" s="129"/>
      <c r="FA937" s="132"/>
      <c r="FB937" s="129"/>
      <c r="FC937" s="129"/>
      <c r="FD937" s="132"/>
      <c r="FE937" s="129"/>
      <c r="FF937" s="129"/>
      <c r="FG937" s="132"/>
      <c r="FH937" s="129"/>
      <c r="FI937" s="129"/>
      <c r="FJ937" s="132"/>
      <c r="FK937" s="129"/>
      <c r="FL937" s="129"/>
      <c r="FM937" s="132"/>
      <c r="FN937" s="129"/>
      <c r="FO937" s="129"/>
      <c r="FP937" s="132"/>
      <c r="FQ937" s="129"/>
      <c r="FR937" s="129"/>
      <c r="FS937" s="132"/>
      <c r="FT937" s="129"/>
      <c r="FU937" s="129"/>
      <c r="FV937" s="132"/>
      <c r="FW937" s="129"/>
      <c r="FX937" s="129"/>
      <c r="FY937" s="132"/>
      <c r="FZ937" s="129"/>
      <c r="GA937" s="129"/>
      <c r="GB937" s="132"/>
      <c r="GC937" s="129"/>
      <c r="GD937" s="129"/>
      <c r="GE937" s="132"/>
      <c r="GF937" s="129"/>
      <c r="GG937" s="129"/>
      <c r="GH937" s="132"/>
      <c r="GI937" s="129"/>
      <c r="GJ937" s="129"/>
      <c r="GK937" s="132"/>
      <c r="GL937" s="129"/>
      <c r="GM937" s="129"/>
      <c r="GN937" s="132"/>
      <c r="GO937" s="129"/>
      <c r="GP937" s="129"/>
      <c r="GQ937" s="132"/>
      <c r="GR937" s="129"/>
      <c r="GS937" s="129"/>
      <c r="GT937" s="132"/>
      <c r="GU937" s="129"/>
      <c r="GV937" s="129"/>
      <c r="GW937" s="132"/>
      <c r="GX937" s="129"/>
      <c r="GY937" s="129"/>
      <c r="GZ937" s="132"/>
      <c r="HA937" s="129"/>
      <c r="HB937" s="129"/>
      <c r="HC937" s="132"/>
      <c r="HD937" s="129"/>
      <c r="HE937" s="129"/>
      <c r="HF937" s="132"/>
      <c r="HG937" s="129"/>
      <c r="HH937" s="129"/>
      <c r="HI937" s="132"/>
      <c r="HJ937" s="129"/>
      <c r="HK937" s="129"/>
      <c r="HL937" s="132"/>
      <c r="HM937" s="129"/>
      <c r="HN937" s="129"/>
      <c r="HO937" s="132"/>
      <c r="HP937" s="129"/>
      <c r="HQ937" s="129"/>
      <c r="HR937" s="132"/>
      <c r="HS937" s="129"/>
      <c r="HT937" s="129"/>
      <c r="HU937" s="132"/>
      <c r="HV937" s="129"/>
      <c r="HW937" s="129"/>
      <c r="HX937" s="132"/>
      <c r="HY937" s="129"/>
      <c r="HZ937" s="129"/>
      <c r="IA937" s="132"/>
      <c r="IB937" s="129"/>
      <c r="IC937" s="129"/>
      <c r="ID937" s="132"/>
      <c r="IE937" s="129"/>
      <c r="IF937" s="129"/>
      <c r="IG937" s="132"/>
      <c r="IH937" s="129"/>
      <c r="II937" s="129"/>
      <c r="IJ937" s="132"/>
      <c r="IK937" s="129"/>
      <c r="IL937" s="129"/>
      <c r="IM937" s="132"/>
      <c r="IN937" s="129"/>
      <c r="IO937" s="129"/>
      <c r="IP937" s="132"/>
      <c r="IQ937" s="129"/>
      <c r="IR937" s="129"/>
      <c r="IS937" s="132"/>
      <c r="IT937" s="129"/>
      <c r="IU937" s="129"/>
      <c r="IV937" s="132"/>
    </row>
    <row r="938" spans="1:256" ht="24" customHeight="1">
      <c r="A938" s="132"/>
      <c r="B938" s="118"/>
      <c r="C938" s="132"/>
      <c r="D938" s="129" t="s">
        <v>786</v>
      </c>
      <c r="E938" s="129"/>
      <c r="F938" s="130"/>
      <c r="G938" s="399" t="s">
        <v>592</v>
      </c>
      <c r="H938" s="120">
        <v>44.25</v>
      </c>
      <c r="I938" s="417">
        <v>95.04</v>
      </c>
      <c r="J938" s="120">
        <v>95.04</v>
      </c>
      <c r="K938" s="404"/>
      <c r="L938" s="120">
        <f t="shared" si="312"/>
        <v>95.04</v>
      </c>
      <c r="M938" s="120">
        <f t="shared" si="313"/>
        <v>4205.5200000000004</v>
      </c>
      <c r="N938" s="120">
        <f t="shared" si="314"/>
        <v>4205.5200000000004</v>
      </c>
      <c r="O938" s="404">
        <f t="shared" si="315"/>
        <v>0</v>
      </c>
      <c r="P938" s="127">
        <f t="shared" si="316"/>
        <v>4205.5200000000004</v>
      </c>
      <c r="Q938" s="129"/>
      <c r="R938" s="129"/>
      <c r="S938" s="132"/>
      <c r="T938" s="129"/>
      <c r="U938" s="129"/>
      <c r="V938" s="132"/>
      <c r="W938" s="129"/>
      <c r="X938" s="129"/>
      <c r="Y938" s="132"/>
      <c r="Z938" s="129"/>
      <c r="AA938" s="129"/>
      <c r="AB938" s="132"/>
      <c r="AC938" s="129"/>
      <c r="AD938" s="129"/>
      <c r="AE938" s="132"/>
      <c r="AF938" s="129"/>
      <c r="AG938" s="129"/>
      <c r="AH938" s="132"/>
      <c r="AI938" s="129"/>
      <c r="AJ938" s="129"/>
      <c r="AK938" s="132"/>
      <c r="AL938" s="129"/>
      <c r="AM938" s="129"/>
      <c r="AN938" s="132"/>
      <c r="AO938" s="129"/>
      <c r="AP938" s="129"/>
      <c r="AQ938" s="132"/>
      <c r="AR938" s="129"/>
      <c r="AS938" s="129"/>
      <c r="AT938" s="132"/>
      <c r="AU938" s="129"/>
      <c r="AV938" s="129"/>
      <c r="AW938" s="132"/>
      <c r="AX938" s="129"/>
      <c r="AY938" s="129"/>
      <c r="AZ938" s="132"/>
      <c r="BA938" s="129"/>
      <c r="BB938" s="129"/>
      <c r="BC938" s="132"/>
      <c r="BD938" s="129"/>
      <c r="BE938" s="129"/>
      <c r="BF938" s="132"/>
      <c r="BG938" s="129"/>
      <c r="BH938" s="129"/>
      <c r="BI938" s="132"/>
      <c r="BJ938" s="129"/>
      <c r="BK938" s="129"/>
      <c r="BL938" s="132"/>
      <c r="BM938" s="129"/>
      <c r="BN938" s="129"/>
      <c r="BO938" s="132"/>
      <c r="BP938" s="129"/>
      <c r="BQ938" s="129"/>
      <c r="BR938" s="132"/>
      <c r="BS938" s="129"/>
      <c r="BT938" s="129"/>
      <c r="BU938" s="132"/>
      <c r="BV938" s="129"/>
      <c r="BW938" s="129"/>
      <c r="BX938" s="132"/>
      <c r="BY938" s="129"/>
      <c r="BZ938" s="129"/>
      <c r="CA938" s="132"/>
      <c r="CB938" s="129"/>
      <c r="CC938" s="129"/>
      <c r="CD938" s="132"/>
      <c r="CE938" s="129"/>
      <c r="CF938" s="129"/>
      <c r="CG938" s="132"/>
      <c r="CH938" s="129"/>
      <c r="CI938" s="129"/>
      <c r="CJ938" s="132"/>
      <c r="CK938" s="129"/>
      <c r="CL938" s="129"/>
      <c r="CM938" s="132"/>
      <c r="CN938" s="129"/>
      <c r="CO938" s="129"/>
      <c r="CP938" s="132"/>
      <c r="CQ938" s="129"/>
      <c r="CR938" s="129"/>
      <c r="CS938" s="132"/>
      <c r="CT938" s="129"/>
      <c r="CU938" s="129"/>
      <c r="CV938" s="132"/>
      <c r="CW938" s="129"/>
      <c r="CX938" s="129"/>
      <c r="CY938" s="132"/>
      <c r="CZ938" s="129"/>
      <c r="DA938" s="129"/>
      <c r="DB938" s="132"/>
      <c r="DC938" s="129"/>
      <c r="DD938" s="129"/>
      <c r="DE938" s="132"/>
      <c r="DF938" s="129"/>
      <c r="DG938" s="129"/>
      <c r="DH938" s="132"/>
      <c r="DI938" s="129"/>
      <c r="DJ938" s="129"/>
      <c r="DK938" s="132"/>
      <c r="DL938" s="129"/>
      <c r="DM938" s="129"/>
      <c r="DN938" s="132"/>
      <c r="DO938" s="129"/>
      <c r="DP938" s="129"/>
      <c r="DQ938" s="132"/>
      <c r="DR938" s="129"/>
      <c r="DS938" s="129"/>
      <c r="DT938" s="132"/>
      <c r="DU938" s="129"/>
      <c r="DV938" s="129"/>
      <c r="DW938" s="132"/>
      <c r="DX938" s="129"/>
      <c r="DY938" s="129"/>
      <c r="DZ938" s="132"/>
      <c r="EA938" s="129"/>
      <c r="EB938" s="129"/>
      <c r="EC938" s="132"/>
      <c r="ED938" s="129"/>
      <c r="EE938" s="129"/>
      <c r="EF938" s="132"/>
      <c r="EG938" s="129"/>
      <c r="EH938" s="129"/>
      <c r="EI938" s="132"/>
      <c r="EJ938" s="129"/>
      <c r="EK938" s="129"/>
      <c r="EL938" s="132"/>
      <c r="EM938" s="129"/>
      <c r="EN938" s="129"/>
      <c r="EO938" s="132"/>
      <c r="EP938" s="129"/>
      <c r="EQ938" s="129"/>
      <c r="ER938" s="132"/>
      <c r="ES938" s="129"/>
      <c r="ET938" s="129"/>
      <c r="EU938" s="132"/>
      <c r="EV938" s="129"/>
      <c r="EW938" s="129"/>
      <c r="EX938" s="132"/>
      <c r="EY938" s="129"/>
      <c r="EZ938" s="129"/>
      <c r="FA938" s="132"/>
      <c r="FB938" s="129"/>
      <c r="FC938" s="129"/>
      <c r="FD938" s="132"/>
      <c r="FE938" s="129"/>
      <c r="FF938" s="129"/>
      <c r="FG938" s="132"/>
      <c r="FH938" s="129"/>
      <c r="FI938" s="129"/>
      <c r="FJ938" s="132"/>
      <c r="FK938" s="129"/>
      <c r="FL938" s="129"/>
      <c r="FM938" s="132"/>
      <c r="FN938" s="129"/>
      <c r="FO938" s="129"/>
      <c r="FP938" s="132"/>
      <c r="FQ938" s="129"/>
      <c r="FR938" s="129"/>
      <c r="FS938" s="132"/>
      <c r="FT938" s="129"/>
      <c r="FU938" s="129"/>
      <c r="FV938" s="132"/>
      <c r="FW938" s="129"/>
      <c r="FX938" s="129"/>
      <c r="FY938" s="132"/>
      <c r="FZ938" s="129"/>
      <c r="GA938" s="129"/>
      <c r="GB938" s="132"/>
      <c r="GC938" s="129"/>
      <c r="GD938" s="129"/>
      <c r="GE938" s="132"/>
      <c r="GF938" s="129"/>
      <c r="GG938" s="129"/>
      <c r="GH938" s="132"/>
      <c r="GI938" s="129"/>
      <c r="GJ938" s="129"/>
      <c r="GK938" s="132"/>
      <c r="GL938" s="129"/>
      <c r="GM938" s="129"/>
      <c r="GN938" s="132"/>
      <c r="GO938" s="129"/>
      <c r="GP938" s="129"/>
      <c r="GQ938" s="132"/>
      <c r="GR938" s="129"/>
      <c r="GS938" s="129"/>
      <c r="GT938" s="132"/>
      <c r="GU938" s="129"/>
      <c r="GV938" s="129"/>
      <c r="GW938" s="132"/>
      <c r="GX938" s="129"/>
      <c r="GY938" s="129"/>
      <c r="GZ938" s="132"/>
      <c r="HA938" s="129"/>
      <c r="HB938" s="129"/>
      <c r="HC938" s="132"/>
      <c r="HD938" s="129"/>
      <c r="HE938" s="129"/>
      <c r="HF938" s="132"/>
      <c r="HG938" s="129"/>
      <c r="HH938" s="129"/>
      <c r="HI938" s="132"/>
      <c r="HJ938" s="129"/>
      <c r="HK938" s="129"/>
      <c r="HL938" s="132"/>
      <c r="HM938" s="129"/>
      <c r="HN938" s="129"/>
      <c r="HO938" s="132"/>
      <c r="HP938" s="129"/>
      <c r="HQ938" s="129"/>
      <c r="HR938" s="132"/>
      <c r="HS938" s="129"/>
      <c r="HT938" s="129"/>
      <c r="HU938" s="132"/>
      <c r="HV938" s="129"/>
      <c r="HW938" s="129"/>
      <c r="HX938" s="132"/>
      <c r="HY938" s="129"/>
      <c r="HZ938" s="129"/>
      <c r="IA938" s="132"/>
      <c r="IB938" s="129"/>
      <c r="IC938" s="129"/>
      <c r="ID938" s="132"/>
      <c r="IE938" s="129"/>
      <c r="IF938" s="129"/>
      <c r="IG938" s="132"/>
      <c r="IH938" s="129"/>
      <c r="II938" s="129"/>
      <c r="IJ938" s="132"/>
      <c r="IK938" s="129"/>
      <c r="IL938" s="129"/>
      <c r="IM938" s="132"/>
      <c r="IN938" s="129"/>
      <c r="IO938" s="129"/>
      <c r="IP938" s="132"/>
      <c r="IQ938" s="129"/>
      <c r="IR938" s="129"/>
      <c r="IS938" s="132"/>
      <c r="IT938" s="129"/>
      <c r="IU938" s="129"/>
      <c r="IV938" s="132"/>
    </row>
    <row r="939" spans="1:256" ht="24" customHeight="1">
      <c r="A939" s="156"/>
      <c r="B939" s="118"/>
      <c r="C939" s="132"/>
      <c r="D939" s="129"/>
      <c r="E939" s="129"/>
      <c r="F939" s="130"/>
      <c r="G939" s="399"/>
      <c r="H939" s="120"/>
      <c r="I939" s="417"/>
      <c r="J939" s="120"/>
      <c r="K939" s="404"/>
      <c r="L939" s="120">
        <f t="shared" si="312"/>
        <v>0</v>
      </c>
      <c r="M939" s="120">
        <f t="shared" si="313"/>
        <v>0</v>
      </c>
      <c r="N939" s="120">
        <f t="shared" si="314"/>
        <v>0</v>
      </c>
      <c r="O939" s="404">
        <f t="shared" si="315"/>
        <v>0</v>
      </c>
      <c r="P939" s="127">
        <f t="shared" si="316"/>
        <v>0</v>
      </c>
      <c r="Q939" s="159"/>
      <c r="R939" s="159"/>
      <c r="S939" s="156"/>
      <c r="T939" s="159"/>
      <c r="U939" s="159"/>
      <c r="V939" s="156"/>
      <c r="W939" s="159"/>
      <c r="X939" s="159"/>
      <c r="Y939" s="156"/>
      <c r="Z939" s="159"/>
      <c r="AA939" s="159"/>
      <c r="AB939" s="156"/>
      <c r="AC939" s="159"/>
      <c r="AD939" s="159"/>
      <c r="AE939" s="156"/>
      <c r="AF939" s="159"/>
      <c r="AG939" s="159"/>
      <c r="AH939" s="156"/>
      <c r="AI939" s="159"/>
      <c r="AJ939" s="159"/>
      <c r="AK939" s="156"/>
      <c r="AL939" s="159"/>
      <c r="AM939" s="159"/>
      <c r="AN939" s="156"/>
      <c r="AO939" s="159"/>
      <c r="AP939" s="159"/>
      <c r="AQ939" s="156"/>
      <c r="AR939" s="159"/>
      <c r="AS939" s="159"/>
      <c r="AT939" s="156"/>
      <c r="AU939" s="159"/>
      <c r="AV939" s="159"/>
      <c r="AW939" s="156"/>
      <c r="AX939" s="159"/>
      <c r="AY939" s="159"/>
      <c r="AZ939" s="156"/>
      <c r="BA939" s="159"/>
      <c r="BB939" s="159"/>
      <c r="BC939" s="156"/>
      <c r="BD939" s="159"/>
      <c r="BE939" s="159"/>
      <c r="BF939" s="156"/>
      <c r="BG939" s="159"/>
      <c r="BH939" s="159"/>
      <c r="BI939" s="156"/>
      <c r="BJ939" s="159"/>
      <c r="BK939" s="159"/>
      <c r="BL939" s="156"/>
      <c r="BM939" s="159"/>
      <c r="BN939" s="159"/>
      <c r="BO939" s="156"/>
      <c r="BP939" s="159"/>
      <c r="BQ939" s="159"/>
      <c r="BR939" s="156"/>
      <c r="BS939" s="159"/>
      <c r="BT939" s="159"/>
      <c r="BU939" s="156"/>
      <c r="BV939" s="159"/>
      <c r="BW939" s="159"/>
      <c r="BX939" s="156"/>
      <c r="BY939" s="159"/>
      <c r="BZ939" s="159"/>
      <c r="CA939" s="156"/>
      <c r="CB939" s="159"/>
      <c r="CC939" s="159"/>
      <c r="CD939" s="156"/>
      <c r="CE939" s="159"/>
      <c r="CF939" s="159"/>
      <c r="CG939" s="156"/>
      <c r="CH939" s="159"/>
      <c r="CI939" s="159"/>
      <c r="CJ939" s="156"/>
      <c r="CK939" s="159"/>
      <c r="CL939" s="159"/>
      <c r="CM939" s="156"/>
      <c r="CN939" s="159"/>
      <c r="CO939" s="159"/>
      <c r="CP939" s="156"/>
      <c r="CQ939" s="159"/>
      <c r="CR939" s="159"/>
      <c r="CS939" s="156"/>
      <c r="CT939" s="159"/>
      <c r="CU939" s="159"/>
      <c r="CV939" s="156"/>
      <c r="CW939" s="159"/>
      <c r="CX939" s="159"/>
      <c r="CY939" s="156"/>
      <c r="CZ939" s="159"/>
      <c r="DA939" s="159"/>
      <c r="DB939" s="156"/>
      <c r="DC939" s="159"/>
      <c r="DD939" s="159"/>
      <c r="DE939" s="156"/>
      <c r="DF939" s="159"/>
      <c r="DG939" s="159"/>
      <c r="DH939" s="156"/>
      <c r="DI939" s="159"/>
      <c r="DJ939" s="159"/>
      <c r="DK939" s="156"/>
      <c r="DL939" s="159"/>
      <c r="DM939" s="159"/>
      <c r="DN939" s="156"/>
      <c r="DO939" s="159"/>
      <c r="DP939" s="159"/>
      <c r="DQ939" s="156"/>
      <c r="DR939" s="159"/>
      <c r="DS939" s="159"/>
      <c r="DT939" s="156"/>
      <c r="DU939" s="159"/>
      <c r="DV939" s="159"/>
      <c r="DW939" s="156"/>
      <c r="DX939" s="159"/>
      <c r="DY939" s="159"/>
      <c r="DZ939" s="156"/>
      <c r="EA939" s="159"/>
      <c r="EB939" s="159"/>
      <c r="EC939" s="156"/>
      <c r="ED939" s="159"/>
      <c r="EE939" s="159"/>
      <c r="EF939" s="156"/>
      <c r="EG939" s="159"/>
      <c r="EH939" s="159"/>
      <c r="EI939" s="156"/>
      <c r="EJ939" s="159"/>
      <c r="EK939" s="159"/>
      <c r="EL939" s="156"/>
      <c r="EM939" s="159"/>
      <c r="EN939" s="159"/>
      <c r="EO939" s="156"/>
      <c r="EP939" s="159"/>
      <c r="EQ939" s="159"/>
      <c r="ER939" s="156"/>
      <c r="ES939" s="159"/>
      <c r="ET939" s="159"/>
      <c r="EU939" s="156"/>
      <c r="EV939" s="159"/>
      <c r="EW939" s="159"/>
      <c r="EX939" s="156"/>
      <c r="EY939" s="159"/>
      <c r="EZ939" s="159"/>
      <c r="FA939" s="156"/>
      <c r="FB939" s="159"/>
      <c r="FC939" s="159"/>
      <c r="FD939" s="156"/>
      <c r="FE939" s="159"/>
      <c r="FF939" s="159"/>
      <c r="FG939" s="156"/>
      <c r="FH939" s="159"/>
      <c r="FI939" s="159"/>
      <c r="FJ939" s="156"/>
      <c r="FK939" s="159"/>
      <c r="FL939" s="159"/>
      <c r="FM939" s="156"/>
      <c r="FN939" s="159"/>
      <c r="FO939" s="159"/>
      <c r="FP939" s="156"/>
      <c r="FQ939" s="159"/>
      <c r="FR939" s="159"/>
      <c r="FS939" s="156"/>
      <c r="FT939" s="159"/>
      <c r="FU939" s="159"/>
      <c r="FV939" s="156"/>
      <c r="FW939" s="159"/>
      <c r="FX939" s="159"/>
      <c r="FY939" s="156"/>
      <c r="FZ939" s="159"/>
      <c r="GA939" s="159"/>
      <c r="GB939" s="156"/>
      <c r="GC939" s="159"/>
      <c r="GD939" s="159"/>
      <c r="GE939" s="156"/>
      <c r="GF939" s="159"/>
      <c r="GG939" s="159"/>
      <c r="GH939" s="156"/>
      <c r="GI939" s="159"/>
      <c r="GJ939" s="159"/>
      <c r="GK939" s="156"/>
      <c r="GL939" s="159"/>
      <c r="GM939" s="159"/>
      <c r="GN939" s="156"/>
      <c r="GO939" s="159"/>
      <c r="GP939" s="159"/>
      <c r="GQ939" s="156"/>
      <c r="GR939" s="159"/>
      <c r="GS939" s="159"/>
      <c r="GT939" s="156"/>
      <c r="GU939" s="159"/>
      <c r="GV939" s="159"/>
      <c r="GW939" s="156"/>
      <c r="GX939" s="159"/>
      <c r="GY939" s="159"/>
      <c r="GZ939" s="156"/>
      <c r="HA939" s="159"/>
      <c r="HB939" s="159"/>
      <c r="HC939" s="156"/>
      <c r="HD939" s="159"/>
      <c r="HE939" s="159"/>
      <c r="HF939" s="156"/>
      <c r="HG939" s="159"/>
      <c r="HH939" s="159"/>
      <c r="HI939" s="156"/>
      <c r="HJ939" s="159"/>
      <c r="HK939" s="159"/>
      <c r="HL939" s="156"/>
      <c r="HM939" s="159"/>
      <c r="HN939" s="159"/>
      <c r="HO939" s="156"/>
      <c r="HP939" s="159"/>
      <c r="HQ939" s="159"/>
      <c r="HR939" s="156"/>
      <c r="HS939" s="159"/>
      <c r="HT939" s="159"/>
      <c r="HU939" s="156"/>
      <c r="HV939" s="159"/>
      <c r="HW939" s="159"/>
      <c r="HX939" s="156"/>
      <c r="HY939" s="159"/>
      <c r="HZ939" s="159"/>
      <c r="IA939" s="156"/>
      <c r="IB939" s="159"/>
      <c r="IC939" s="159"/>
      <c r="ID939" s="156"/>
      <c r="IE939" s="159"/>
      <c r="IF939" s="159"/>
      <c r="IG939" s="156"/>
      <c r="IH939" s="159"/>
      <c r="II939" s="159"/>
      <c r="IJ939" s="156"/>
      <c r="IK939" s="159"/>
      <c r="IL939" s="159"/>
      <c r="IM939" s="156"/>
      <c r="IN939" s="159"/>
      <c r="IO939" s="159"/>
      <c r="IP939" s="156"/>
      <c r="IQ939" s="159"/>
      <c r="IR939" s="159"/>
      <c r="IS939" s="156"/>
      <c r="IT939" s="159"/>
      <c r="IU939" s="159"/>
      <c r="IV939" s="156"/>
    </row>
    <row r="940" spans="1:256" ht="24" customHeight="1">
      <c r="A940" s="132"/>
      <c r="B940" s="118"/>
      <c r="C940" s="132" t="s">
        <v>775</v>
      </c>
      <c r="D940" s="129" t="s">
        <v>787</v>
      </c>
      <c r="E940" s="129"/>
      <c r="F940" s="130"/>
      <c r="G940" s="399" t="s">
        <v>592</v>
      </c>
      <c r="H940" s="120">
        <v>44.25</v>
      </c>
      <c r="I940" s="417">
        <v>128.28</v>
      </c>
      <c r="J940" s="120">
        <v>128.28</v>
      </c>
      <c r="K940" s="404"/>
      <c r="L940" s="120">
        <f t="shared" si="312"/>
        <v>128.28</v>
      </c>
      <c r="M940" s="120">
        <f t="shared" si="313"/>
        <v>5676.39</v>
      </c>
      <c r="N940" s="120">
        <f t="shared" si="314"/>
        <v>5676.39</v>
      </c>
      <c r="O940" s="404">
        <f t="shared" si="315"/>
        <v>0</v>
      </c>
      <c r="P940" s="127">
        <f t="shared" si="316"/>
        <v>5676.39</v>
      </c>
      <c r="Q940" s="129"/>
      <c r="R940" s="129"/>
      <c r="S940" s="132"/>
      <c r="T940" s="129"/>
      <c r="U940" s="129"/>
      <c r="V940" s="132"/>
      <c r="W940" s="129"/>
      <c r="X940" s="129"/>
      <c r="Y940" s="132"/>
      <c r="Z940" s="129"/>
      <c r="AA940" s="129"/>
      <c r="AB940" s="132"/>
      <c r="AC940" s="129"/>
      <c r="AD940" s="129"/>
      <c r="AE940" s="132"/>
      <c r="AF940" s="129"/>
      <c r="AG940" s="129"/>
      <c r="AH940" s="132"/>
      <c r="AI940" s="129"/>
      <c r="AJ940" s="129"/>
      <c r="AK940" s="132"/>
      <c r="AL940" s="129"/>
      <c r="AM940" s="129"/>
      <c r="AN940" s="132"/>
      <c r="AO940" s="129"/>
      <c r="AP940" s="129"/>
      <c r="AQ940" s="132"/>
      <c r="AR940" s="129"/>
      <c r="AS940" s="129"/>
      <c r="AT940" s="132"/>
      <c r="AU940" s="129"/>
      <c r="AV940" s="129"/>
      <c r="AW940" s="132"/>
      <c r="AX940" s="129"/>
      <c r="AY940" s="129"/>
      <c r="AZ940" s="132"/>
      <c r="BA940" s="129"/>
      <c r="BB940" s="129"/>
      <c r="BC940" s="132"/>
      <c r="BD940" s="129"/>
      <c r="BE940" s="129"/>
      <c r="BF940" s="132"/>
      <c r="BG940" s="129"/>
      <c r="BH940" s="129"/>
      <c r="BI940" s="132"/>
      <c r="BJ940" s="129"/>
      <c r="BK940" s="129"/>
      <c r="BL940" s="132"/>
      <c r="BM940" s="129"/>
      <c r="BN940" s="129"/>
      <c r="BO940" s="132"/>
      <c r="BP940" s="129"/>
      <c r="BQ940" s="129"/>
      <c r="BR940" s="132"/>
      <c r="BS940" s="129"/>
      <c r="BT940" s="129"/>
      <c r="BU940" s="132"/>
      <c r="BV940" s="129"/>
      <c r="BW940" s="129"/>
      <c r="BX940" s="132"/>
      <c r="BY940" s="129"/>
      <c r="BZ940" s="129"/>
      <c r="CA940" s="132"/>
      <c r="CB940" s="129"/>
      <c r="CC940" s="129"/>
      <c r="CD940" s="132"/>
      <c r="CE940" s="129"/>
      <c r="CF940" s="129"/>
      <c r="CG940" s="132"/>
      <c r="CH940" s="129"/>
      <c r="CI940" s="129"/>
      <c r="CJ940" s="132"/>
      <c r="CK940" s="129"/>
      <c r="CL940" s="129"/>
      <c r="CM940" s="132"/>
      <c r="CN940" s="129"/>
      <c r="CO940" s="129"/>
      <c r="CP940" s="132"/>
      <c r="CQ940" s="129"/>
      <c r="CR940" s="129"/>
      <c r="CS940" s="132"/>
      <c r="CT940" s="129"/>
      <c r="CU940" s="129"/>
      <c r="CV940" s="132"/>
      <c r="CW940" s="129"/>
      <c r="CX940" s="129"/>
      <c r="CY940" s="132"/>
      <c r="CZ940" s="129"/>
      <c r="DA940" s="129"/>
      <c r="DB940" s="132"/>
      <c r="DC940" s="129"/>
      <c r="DD940" s="129"/>
      <c r="DE940" s="132"/>
      <c r="DF940" s="129"/>
      <c r="DG940" s="129"/>
      <c r="DH940" s="132"/>
      <c r="DI940" s="129"/>
      <c r="DJ940" s="129"/>
      <c r="DK940" s="132"/>
      <c r="DL940" s="129"/>
      <c r="DM940" s="129"/>
      <c r="DN940" s="132"/>
      <c r="DO940" s="129"/>
      <c r="DP940" s="129"/>
      <c r="DQ940" s="132"/>
      <c r="DR940" s="129"/>
      <c r="DS940" s="129"/>
      <c r="DT940" s="132"/>
      <c r="DU940" s="129"/>
      <c r="DV940" s="129"/>
      <c r="DW940" s="132"/>
      <c r="DX940" s="129"/>
      <c r="DY940" s="129"/>
      <c r="DZ940" s="132"/>
      <c r="EA940" s="129"/>
      <c r="EB940" s="129"/>
      <c r="EC940" s="132"/>
      <c r="ED940" s="129"/>
      <c r="EE940" s="129"/>
      <c r="EF940" s="132"/>
      <c r="EG940" s="129"/>
      <c r="EH940" s="129"/>
      <c r="EI940" s="132"/>
      <c r="EJ940" s="129"/>
      <c r="EK940" s="129"/>
      <c r="EL940" s="132"/>
      <c r="EM940" s="129"/>
      <c r="EN940" s="129"/>
      <c r="EO940" s="132"/>
      <c r="EP940" s="129"/>
      <c r="EQ940" s="129"/>
      <c r="ER940" s="132"/>
      <c r="ES940" s="129"/>
      <c r="ET940" s="129"/>
      <c r="EU940" s="132"/>
      <c r="EV940" s="129"/>
      <c r="EW940" s="129"/>
      <c r="EX940" s="132"/>
      <c r="EY940" s="129"/>
      <c r="EZ940" s="129"/>
      <c r="FA940" s="132"/>
      <c r="FB940" s="129"/>
      <c r="FC940" s="129"/>
      <c r="FD940" s="132"/>
      <c r="FE940" s="129"/>
      <c r="FF940" s="129"/>
      <c r="FG940" s="132"/>
      <c r="FH940" s="129"/>
      <c r="FI940" s="129"/>
      <c r="FJ940" s="132"/>
      <c r="FK940" s="129"/>
      <c r="FL940" s="129"/>
      <c r="FM940" s="132"/>
      <c r="FN940" s="129"/>
      <c r="FO940" s="129"/>
      <c r="FP940" s="132"/>
      <c r="FQ940" s="129"/>
      <c r="FR940" s="129"/>
      <c r="FS940" s="132"/>
      <c r="FT940" s="129"/>
      <c r="FU940" s="129"/>
      <c r="FV940" s="132"/>
      <c r="FW940" s="129"/>
      <c r="FX940" s="129"/>
      <c r="FY940" s="132"/>
      <c r="FZ940" s="129"/>
      <c r="GA940" s="129"/>
      <c r="GB940" s="132"/>
      <c r="GC940" s="129"/>
      <c r="GD940" s="129"/>
      <c r="GE940" s="132"/>
      <c r="GF940" s="129"/>
      <c r="GG940" s="129"/>
      <c r="GH940" s="132"/>
      <c r="GI940" s="129"/>
      <c r="GJ940" s="129"/>
      <c r="GK940" s="132"/>
      <c r="GL940" s="129"/>
      <c r="GM940" s="129"/>
      <c r="GN940" s="132"/>
      <c r="GO940" s="129"/>
      <c r="GP940" s="129"/>
      <c r="GQ940" s="132"/>
      <c r="GR940" s="129"/>
      <c r="GS940" s="129"/>
      <c r="GT940" s="132"/>
      <c r="GU940" s="129"/>
      <c r="GV940" s="129"/>
      <c r="GW940" s="132"/>
      <c r="GX940" s="129"/>
      <c r="GY940" s="129"/>
      <c r="GZ940" s="132"/>
      <c r="HA940" s="129"/>
      <c r="HB940" s="129"/>
      <c r="HC940" s="132"/>
      <c r="HD940" s="129"/>
      <c r="HE940" s="129"/>
      <c r="HF940" s="132"/>
      <c r="HG940" s="129"/>
      <c r="HH940" s="129"/>
      <c r="HI940" s="132"/>
      <c r="HJ940" s="129"/>
      <c r="HK940" s="129"/>
      <c r="HL940" s="132"/>
      <c r="HM940" s="129"/>
      <c r="HN940" s="129"/>
      <c r="HO940" s="132"/>
      <c r="HP940" s="129"/>
      <c r="HQ940" s="129"/>
      <c r="HR940" s="132"/>
      <c r="HS940" s="129"/>
      <c r="HT940" s="129"/>
      <c r="HU940" s="132"/>
      <c r="HV940" s="129"/>
      <c r="HW940" s="129"/>
      <c r="HX940" s="132"/>
      <c r="HY940" s="129"/>
      <c r="HZ940" s="129"/>
      <c r="IA940" s="132"/>
      <c r="IB940" s="129"/>
      <c r="IC940" s="129"/>
      <c r="ID940" s="132"/>
      <c r="IE940" s="129"/>
      <c r="IF940" s="129"/>
      <c r="IG940" s="132"/>
      <c r="IH940" s="129"/>
      <c r="II940" s="129"/>
      <c r="IJ940" s="132"/>
      <c r="IK940" s="129"/>
      <c r="IL940" s="129"/>
      <c r="IM940" s="132"/>
      <c r="IN940" s="129"/>
      <c r="IO940" s="129"/>
      <c r="IP940" s="132"/>
      <c r="IQ940" s="129"/>
      <c r="IR940" s="129"/>
      <c r="IS940" s="132"/>
      <c r="IT940" s="129"/>
      <c r="IU940" s="129"/>
      <c r="IV940" s="132"/>
    </row>
    <row r="941" spans="1:256" ht="24" customHeight="1">
      <c r="A941" s="132"/>
      <c r="B941" s="147"/>
      <c r="C941" s="132"/>
      <c r="D941" s="129"/>
      <c r="E941" s="129"/>
      <c r="F941" s="130"/>
      <c r="G941" s="399"/>
      <c r="H941" s="120"/>
      <c r="I941" s="417"/>
      <c r="J941" s="120"/>
      <c r="K941" s="404"/>
      <c r="L941" s="120">
        <f t="shared" si="312"/>
        <v>0</v>
      </c>
      <c r="M941" s="120">
        <f t="shared" si="313"/>
        <v>0</v>
      </c>
      <c r="N941" s="120">
        <f t="shared" si="314"/>
        <v>0</v>
      </c>
      <c r="O941" s="404">
        <f t="shared" si="315"/>
        <v>0</v>
      </c>
      <c r="P941" s="127">
        <f t="shared" si="316"/>
        <v>0</v>
      </c>
      <c r="Q941" s="129"/>
      <c r="R941" s="129"/>
      <c r="S941" s="132"/>
      <c r="T941" s="129"/>
      <c r="U941" s="129"/>
      <c r="V941" s="132"/>
      <c r="W941" s="129"/>
      <c r="X941" s="129"/>
      <c r="Y941" s="132"/>
      <c r="Z941" s="129"/>
      <c r="AA941" s="129"/>
      <c r="AB941" s="132"/>
      <c r="AC941" s="129"/>
      <c r="AD941" s="129"/>
      <c r="AE941" s="132"/>
      <c r="AF941" s="129"/>
      <c r="AG941" s="129"/>
      <c r="AH941" s="132"/>
      <c r="AI941" s="129"/>
      <c r="AJ941" s="129"/>
      <c r="AK941" s="132"/>
      <c r="AL941" s="129"/>
      <c r="AM941" s="129"/>
      <c r="AN941" s="132"/>
      <c r="AO941" s="129"/>
      <c r="AP941" s="129"/>
      <c r="AQ941" s="132"/>
      <c r="AR941" s="129"/>
      <c r="AS941" s="129"/>
      <c r="AT941" s="132"/>
      <c r="AU941" s="129"/>
      <c r="AV941" s="129"/>
      <c r="AW941" s="132"/>
      <c r="AX941" s="129"/>
      <c r="AY941" s="129"/>
      <c r="AZ941" s="132"/>
      <c r="BA941" s="129"/>
      <c r="BB941" s="129"/>
      <c r="BC941" s="132"/>
      <c r="BD941" s="129"/>
      <c r="BE941" s="129"/>
      <c r="BF941" s="132"/>
      <c r="BG941" s="129"/>
      <c r="BH941" s="129"/>
      <c r="BI941" s="132"/>
      <c r="BJ941" s="129"/>
      <c r="BK941" s="129"/>
      <c r="BL941" s="132"/>
      <c r="BM941" s="129"/>
      <c r="BN941" s="129"/>
      <c r="BO941" s="132"/>
      <c r="BP941" s="129"/>
      <c r="BQ941" s="129"/>
      <c r="BR941" s="132"/>
      <c r="BS941" s="129"/>
      <c r="BT941" s="129"/>
      <c r="BU941" s="132"/>
      <c r="BV941" s="129"/>
      <c r="BW941" s="129"/>
      <c r="BX941" s="132"/>
      <c r="BY941" s="129"/>
      <c r="BZ941" s="129"/>
      <c r="CA941" s="132"/>
      <c r="CB941" s="129"/>
      <c r="CC941" s="129"/>
      <c r="CD941" s="132"/>
      <c r="CE941" s="129"/>
      <c r="CF941" s="129"/>
      <c r="CG941" s="132"/>
      <c r="CH941" s="129"/>
      <c r="CI941" s="129"/>
      <c r="CJ941" s="132"/>
      <c r="CK941" s="129"/>
      <c r="CL941" s="129"/>
      <c r="CM941" s="132"/>
      <c r="CN941" s="129"/>
      <c r="CO941" s="129"/>
      <c r="CP941" s="132"/>
      <c r="CQ941" s="129"/>
      <c r="CR941" s="129"/>
      <c r="CS941" s="132"/>
      <c r="CT941" s="129"/>
      <c r="CU941" s="129"/>
      <c r="CV941" s="132"/>
      <c r="CW941" s="129"/>
      <c r="CX941" s="129"/>
      <c r="CY941" s="132"/>
      <c r="CZ941" s="129"/>
      <c r="DA941" s="129"/>
      <c r="DB941" s="132"/>
      <c r="DC941" s="129"/>
      <c r="DD941" s="129"/>
      <c r="DE941" s="132"/>
      <c r="DF941" s="129"/>
      <c r="DG941" s="129"/>
      <c r="DH941" s="132"/>
      <c r="DI941" s="129"/>
      <c r="DJ941" s="129"/>
      <c r="DK941" s="132"/>
      <c r="DL941" s="129"/>
      <c r="DM941" s="129"/>
      <c r="DN941" s="132"/>
      <c r="DO941" s="129"/>
      <c r="DP941" s="129"/>
      <c r="DQ941" s="132"/>
      <c r="DR941" s="129"/>
      <c r="DS941" s="129"/>
      <c r="DT941" s="132"/>
      <c r="DU941" s="129"/>
      <c r="DV941" s="129"/>
      <c r="DW941" s="132"/>
      <c r="DX941" s="129"/>
      <c r="DY941" s="129"/>
      <c r="DZ941" s="132"/>
      <c r="EA941" s="129"/>
      <c r="EB941" s="129"/>
      <c r="EC941" s="132"/>
      <c r="ED941" s="129"/>
      <c r="EE941" s="129"/>
      <c r="EF941" s="132"/>
      <c r="EG941" s="129"/>
      <c r="EH941" s="129"/>
      <c r="EI941" s="132"/>
      <c r="EJ941" s="129"/>
      <c r="EK941" s="129"/>
      <c r="EL941" s="132"/>
      <c r="EM941" s="129"/>
      <c r="EN941" s="129"/>
      <c r="EO941" s="132"/>
      <c r="EP941" s="129"/>
      <c r="EQ941" s="129"/>
      <c r="ER941" s="132"/>
      <c r="ES941" s="129"/>
      <c r="ET941" s="129"/>
      <c r="EU941" s="132"/>
      <c r="EV941" s="129"/>
      <c r="EW941" s="129"/>
      <c r="EX941" s="132"/>
      <c r="EY941" s="129"/>
      <c r="EZ941" s="129"/>
      <c r="FA941" s="132"/>
      <c r="FB941" s="129"/>
      <c r="FC941" s="129"/>
      <c r="FD941" s="132"/>
      <c r="FE941" s="129"/>
      <c r="FF941" s="129"/>
      <c r="FG941" s="132"/>
      <c r="FH941" s="129"/>
      <c r="FI941" s="129"/>
      <c r="FJ941" s="132"/>
      <c r="FK941" s="129"/>
      <c r="FL941" s="129"/>
      <c r="FM941" s="132"/>
      <c r="FN941" s="129"/>
      <c r="FO941" s="129"/>
      <c r="FP941" s="132"/>
      <c r="FQ941" s="129"/>
      <c r="FR941" s="129"/>
      <c r="FS941" s="132"/>
      <c r="FT941" s="129"/>
      <c r="FU941" s="129"/>
      <c r="FV941" s="132"/>
      <c r="FW941" s="129"/>
      <c r="FX941" s="129"/>
      <c r="FY941" s="132"/>
      <c r="FZ941" s="129"/>
      <c r="GA941" s="129"/>
      <c r="GB941" s="132"/>
      <c r="GC941" s="129"/>
      <c r="GD941" s="129"/>
      <c r="GE941" s="132"/>
      <c r="GF941" s="129"/>
      <c r="GG941" s="129"/>
      <c r="GH941" s="132"/>
      <c r="GI941" s="129"/>
      <c r="GJ941" s="129"/>
      <c r="GK941" s="132"/>
      <c r="GL941" s="129"/>
      <c r="GM941" s="129"/>
      <c r="GN941" s="132"/>
      <c r="GO941" s="129"/>
      <c r="GP941" s="129"/>
      <c r="GQ941" s="132"/>
      <c r="GR941" s="129"/>
      <c r="GS941" s="129"/>
      <c r="GT941" s="132"/>
      <c r="GU941" s="129"/>
      <c r="GV941" s="129"/>
      <c r="GW941" s="132"/>
      <c r="GX941" s="129"/>
      <c r="GY941" s="129"/>
      <c r="GZ941" s="132"/>
      <c r="HA941" s="129"/>
      <c r="HB941" s="129"/>
      <c r="HC941" s="132"/>
      <c r="HD941" s="129"/>
      <c r="HE941" s="129"/>
      <c r="HF941" s="132"/>
      <c r="HG941" s="129"/>
      <c r="HH941" s="129"/>
      <c r="HI941" s="132"/>
      <c r="HJ941" s="129"/>
      <c r="HK941" s="129"/>
      <c r="HL941" s="132"/>
      <c r="HM941" s="129"/>
      <c r="HN941" s="129"/>
      <c r="HO941" s="132"/>
      <c r="HP941" s="129"/>
      <c r="HQ941" s="129"/>
      <c r="HR941" s="132"/>
      <c r="HS941" s="129"/>
      <c r="HT941" s="129"/>
      <c r="HU941" s="132"/>
      <c r="HV941" s="129"/>
      <c r="HW941" s="129"/>
      <c r="HX941" s="132"/>
      <c r="HY941" s="129"/>
      <c r="HZ941" s="129"/>
      <c r="IA941" s="132"/>
      <c r="IB941" s="129"/>
      <c r="IC941" s="129"/>
      <c r="ID941" s="132"/>
      <c r="IE941" s="129"/>
      <c r="IF941" s="129"/>
      <c r="IG941" s="132"/>
      <c r="IH941" s="129"/>
      <c r="II941" s="129"/>
      <c r="IJ941" s="132"/>
      <c r="IK941" s="129"/>
      <c r="IL941" s="129"/>
      <c r="IM941" s="132"/>
      <c r="IN941" s="129"/>
      <c r="IO941" s="129"/>
      <c r="IP941" s="132"/>
      <c r="IQ941" s="129"/>
      <c r="IR941" s="129"/>
      <c r="IS941" s="132"/>
      <c r="IT941" s="129"/>
      <c r="IU941" s="129"/>
      <c r="IV941" s="132"/>
    </row>
    <row r="942" spans="1:256" ht="24" customHeight="1">
      <c r="A942" s="156"/>
      <c r="B942" s="118"/>
      <c r="C942" s="132" t="s">
        <v>776</v>
      </c>
      <c r="D942" s="129" t="s">
        <v>788</v>
      </c>
      <c r="E942" s="129"/>
      <c r="F942" s="130"/>
      <c r="G942" s="399" t="s">
        <v>592</v>
      </c>
      <c r="H942" s="120">
        <v>44.25</v>
      </c>
      <c r="I942" s="417">
        <v>32.880000000000003</v>
      </c>
      <c r="J942" s="120">
        <v>32.880000000000003</v>
      </c>
      <c r="K942" s="404"/>
      <c r="L942" s="120">
        <f t="shared" si="312"/>
        <v>32.880000000000003</v>
      </c>
      <c r="M942" s="120">
        <f t="shared" si="313"/>
        <v>1454.94</v>
      </c>
      <c r="N942" s="120">
        <f t="shared" si="314"/>
        <v>1454.94</v>
      </c>
      <c r="O942" s="404">
        <f t="shared" si="315"/>
        <v>0</v>
      </c>
      <c r="P942" s="127">
        <f t="shared" si="316"/>
        <v>1454.94</v>
      </c>
      <c r="Q942" s="159"/>
      <c r="R942" s="159"/>
      <c r="S942" s="156"/>
      <c r="T942" s="159"/>
      <c r="U942" s="159"/>
      <c r="V942" s="156"/>
      <c r="W942" s="159"/>
      <c r="X942" s="159"/>
      <c r="Y942" s="156"/>
      <c r="Z942" s="159"/>
      <c r="AA942" s="159"/>
      <c r="AB942" s="156"/>
      <c r="AC942" s="159"/>
      <c r="AD942" s="159"/>
      <c r="AE942" s="156"/>
      <c r="AF942" s="159"/>
      <c r="AG942" s="159"/>
      <c r="AH942" s="156"/>
      <c r="AI942" s="159"/>
      <c r="AJ942" s="159"/>
      <c r="AK942" s="156"/>
      <c r="AL942" s="159"/>
      <c r="AM942" s="159"/>
      <c r="AN942" s="156"/>
      <c r="AO942" s="159"/>
      <c r="AP942" s="159"/>
      <c r="AQ942" s="156"/>
      <c r="AR942" s="159"/>
      <c r="AS942" s="159"/>
      <c r="AT942" s="156"/>
      <c r="AU942" s="159"/>
      <c r="AV942" s="159"/>
      <c r="AW942" s="156"/>
      <c r="AX942" s="159"/>
      <c r="AY942" s="159"/>
      <c r="AZ942" s="156"/>
      <c r="BA942" s="159"/>
      <c r="BB942" s="159"/>
      <c r="BC942" s="156"/>
      <c r="BD942" s="159"/>
      <c r="BE942" s="159"/>
      <c r="BF942" s="156"/>
      <c r="BG942" s="159"/>
      <c r="BH942" s="159"/>
      <c r="BI942" s="156"/>
      <c r="BJ942" s="159"/>
      <c r="BK942" s="159"/>
      <c r="BL942" s="156"/>
      <c r="BM942" s="159"/>
      <c r="BN942" s="159"/>
      <c r="BO942" s="156"/>
      <c r="BP942" s="159"/>
      <c r="BQ942" s="159"/>
      <c r="BR942" s="156"/>
      <c r="BS942" s="159"/>
      <c r="BT942" s="159"/>
      <c r="BU942" s="156"/>
      <c r="BV942" s="159"/>
      <c r="BW942" s="159"/>
      <c r="BX942" s="156"/>
      <c r="BY942" s="159"/>
      <c r="BZ942" s="159"/>
      <c r="CA942" s="156"/>
      <c r="CB942" s="159"/>
      <c r="CC942" s="159"/>
      <c r="CD942" s="156"/>
      <c r="CE942" s="159"/>
      <c r="CF942" s="159"/>
      <c r="CG942" s="156"/>
      <c r="CH942" s="159"/>
      <c r="CI942" s="159"/>
      <c r="CJ942" s="156"/>
      <c r="CK942" s="159"/>
      <c r="CL942" s="159"/>
      <c r="CM942" s="156"/>
      <c r="CN942" s="159"/>
      <c r="CO942" s="159"/>
      <c r="CP942" s="156"/>
      <c r="CQ942" s="159"/>
      <c r="CR942" s="159"/>
      <c r="CS942" s="156"/>
      <c r="CT942" s="159"/>
      <c r="CU942" s="159"/>
      <c r="CV942" s="156"/>
      <c r="CW942" s="159"/>
      <c r="CX942" s="159"/>
      <c r="CY942" s="156"/>
      <c r="CZ942" s="159"/>
      <c r="DA942" s="159"/>
      <c r="DB942" s="156"/>
      <c r="DC942" s="159"/>
      <c r="DD942" s="159"/>
      <c r="DE942" s="156"/>
      <c r="DF942" s="159"/>
      <c r="DG942" s="159"/>
      <c r="DH942" s="156"/>
      <c r="DI942" s="159"/>
      <c r="DJ942" s="159"/>
      <c r="DK942" s="156"/>
      <c r="DL942" s="159"/>
      <c r="DM942" s="159"/>
      <c r="DN942" s="156"/>
      <c r="DO942" s="159"/>
      <c r="DP942" s="159"/>
      <c r="DQ942" s="156"/>
      <c r="DR942" s="159"/>
      <c r="DS942" s="159"/>
      <c r="DT942" s="156"/>
      <c r="DU942" s="159"/>
      <c r="DV942" s="159"/>
      <c r="DW942" s="156"/>
      <c r="DX942" s="159"/>
      <c r="DY942" s="159"/>
      <c r="DZ942" s="156"/>
      <c r="EA942" s="159"/>
      <c r="EB942" s="159"/>
      <c r="EC942" s="156"/>
      <c r="ED942" s="159"/>
      <c r="EE942" s="159"/>
      <c r="EF942" s="156"/>
      <c r="EG942" s="159"/>
      <c r="EH942" s="159"/>
      <c r="EI942" s="156"/>
      <c r="EJ942" s="159"/>
      <c r="EK942" s="159"/>
      <c r="EL942" s="156"/>
      <c r="EM942" s="159"/>
      <c r="EN942" s="159"/>
      <c r="EO942" s="156"/>
      <c r="EP942" s="159"/>
      <c r="EQ942" s="159"/>
      <c r="ER942" s="156"/>
      <c r="ES942" s="159"/>
      <c r="ET942" s="159"/>
      <c r="EU942" s="156"/>
      <c r="EV942" s="159"/>
      <c r="EW942" s="159"/>
      <c r="EX942" s="156"/>
      <c r="EY942" s="159"/>
      <c r="EZ942" s="159"/>
      <c r="FA942" s="156"/>
      <c r="FB942" s="159"/>
      <c r="FC942" s="159"/>
      <c r="FD942" s="156"/>
      <c r="FE942" s="159"/>
      <c r="FF942" s="159"/>
      <c r="FG942" s="156"/>
      <c r="FH942" s="159"/>
      <c r="FI942" s="159"/>
      <c r="FJ942" s="156"/>
      <c r="FK942" s="159"/>
      <c r="FL942" s="159"/>
      <c r="FM942" s="156"/>
      <c r="FN942" s="159"/>
      <c r="FO942" s="159"/>
      <c r="FP942" s="156"/>
      <c r="FQ942" s="159"/>
      <c r="FR942" s="159"/>
      <c r="FS942" s="156"/>
      <c r="FT942" s="159"/>
      <c r="FU942" s="159"/>
      <c r="FV942" s="156"/>
      <c r="FW942" s="159"/>
      <c r="FX942" s="159"/>
      <c r="FY942" s="156"/>
      <c r="FZ942" s="159"/>
      <c r="GA942" s="159"/>
      <c r="GB942" s="156"/>
      <c r="GC942" s="159"/>
      <c r="GD942" s="159"/>
      <c r="GE942" s="156"/>
      <c r="GF942" s="159"/>
      <c r="GG942" s="159"/>
      <c r="GH942" s="156"/>
      <c r="GI942" s="159"/>
      <c r="GJ942" s="159"/>
      <c r="GK942" s="156"/>
      <c r="GL942" s="159"/>
      <c r="GM942" s="159"/>
      <c r="GN942" s="156"/>
      <c r="GO942" s="159"/>
      <c r="GP942" s="159"/>
      <c r="GQ942" s="156"/>
      <c r="GR942" s="159"/>
      <c r="GS942" s="159"/>
      <c r="GT942" s="156"/>
      <c r="GU942" s="159"/>
      <c r="GV942" s="159"/>
      <c r="GW942" s="156"/>
      <c r="GX942" s="159"/>
      <c r="GY942" s="159"/>
      <c r="GZ942" s="156"/>
      <c r="HA942" s="159"/>
      <c r="HB942" s="159"/>
      <c r="HC942" s="156"/>
      <c r="HD942" s="159"/>
      <c r="HE942" s="159"/>
      <c r="HF942" s="156"/>
      <c r="HG942" s="159"/>
      <c r="HH942" s="159"/>
      <c r="HI942" s="156"/>
      <c r="HJ942" s="159"/>
      <c r="HK942" s="159"/>
      <c r="HL942" s="156"/>
      <c r="HM942" s="159"/>
      <c r="HN942" s="159"/>
      <c r="HO942" s="156"/>
      <c r="HP942" s="159"/>
      <c r="HQ942" s="159"/>
      <c r="HR942" s="156"/>
      <c r="HS942" s="159"/>
      <c r="HT942" s="159"/>
      <c r="HU942" s="156"/>
      <c r="HV942" s="159"/>
      <c r="HW942" s="159"/>
      <c r="HX942" s="156"/>
      <c r="HY942" s="159"/>
      <c r="HZ942" s="159"/>
      <c r="IA942" s="156"/>
      <c r="IB942" s="159"/>
      <c r="IC942" s="159"/>
      <c r="ID942" s="156"/>
      <c r="IE942" s="159"/>
      <c r="IF942" s="159"/>
      <c r="IG942" s="156"/>
      <c r="IH942" s="159"/>
      <c r="II942" s="159"/>
      <c r="IJ942" s="156"/>
      <c r="IK942" s="159"/>
      <c r="IL942" s="159"/>
      <c r="IM942" s="156"/>
      <c r="IN942" s="159"/>
      <c r="IO942" s="159"/>
      <c r="IP942" s="156"/>
      <c r="IQ942" s="159"/>
      <c r="IR942" s="159"/>
      <c r="IS942" s="156"/>
      <c r="IT942" s="159"/>
      <c r="IU942" s="159"/>
      <c r="IV942" s="156"/>
    </row>
    <row r="943" spans="1:256" ht="24" customHeight="1">
      <c r="A943" s="132"/>
      <c r="B943" s="118"/>
      <c r="C943" s="132"/>
      <c r="D943" s="129"/>
      <c r="E943" s="129"/>
      <c r="F943" s="130"/>
      <c r="G943" s="399"/>
      <c r="H943" s="120"/>
      <c r="I943" s="417"/>
      <c r="J943" s="120"/>
      <c r="K943" s="404"/>
      <c r="L943" s="120">
        <f t="shared" si="312"/>
        <v>0</v>
      </c>
      <c r="M943" s="120">
        <f t="shared" si="313"/>
        <v>0</v>
      </c>
      <c r="N943" s="120">
        <f t="shared" si="314"/>
        <v>0</v>
      </c>
      <c r="O943" s="404">
        <f t="shared" si="315"/>
        <v>0</v>
      </c>
      <c r="P943" s="127">
        <f t="shared" si="316"/>
        <v>0</v>
      </c>
      <c r="Q943" s="129"/>
      <c r="R943" s="129"/>
      <c r="S943" s="132"/>
      <c r="T943" s="129"/>
      <c r="U943" s="129"/>
      <c r="V943" s="132"/>
      <c r="W943" s="129"/>
      <c r="X943" s="129"/>
      <c r="Y943" s="132"/>
      <c r="Z943" s="129"/>
      <c r="AA943" s="129"/>
      <c r="AB943" s="132"/>
      <c r="AC943" s="129"/>
      <c r="AD943" s="129"/>
      <c r="AE943" s="132"/>
      <c r="AF943" s="129"/>
      <c r="AG943" s="129"/>
      <c r="AH943" s="132"/>
      <c r="AI943" s="129"/>
      <c r="AJ943" s="129"/>
      <c r="AK943" s="132"/>
      <c r="AL943" s="129"/>
      <c r="AM943" s="129"/>
      <c r="AN943" s="132"/>
      <c r="AO943" s="129"/>
      <c r="AP943" s="129"/>
      <c r="AQ943" s="132"/>
      <c r="AR943" s="129"/>
      <c r="AS943" s="129"/>
      <c r="AT943" s="132"/>
      <c r="AU943" s="129"/>
      <c r="AV943" s="129"/>
      <c r="AW943" s="132"/>
      <c r="AX943" s="129"/>
      <c r="AY943" s="129"/>
      <c r="AZ943" s="132"/>
      <c r="BA943" s="129"/>
      <c r="BB943" s="129"/>
      <c r="BC943" s="132"/>
      <c r="BD943" s="129"/>
      <c r="BE943" s="129"/>
      <c r="BF943" s="132"/>
      <c r="BG943" s="129"/>
      <c r="BH943" s="129"/>
      <c r="BI943" s="132"/>
      <c r="BJ943" s="129"/>
      <c r="BK943" s="129"/>
      <c r="BL943" s="132"/>
      <c r="BM943" s="129"/>
      <c r="BN943" s="129"/>
      <c r="BO943" s="132"/>
      <c r="BP943" s="129"/>
      <c r="BQ943" s="129"/>
      <c r="BR943" s="132"/>
      <c r="BS943" s="129"/>
      <c r="BT943" s="129"/>
      <c r="BU943" s="132"/>
      <c r="BV943" s="129"/>
      <c r="BW943" s="129"/>
      <c r="BX943" s="132"/>
      <c r="BY943" s="129"/>
      <c r="BZ943" s="129"/>
      <c r="CA943" s="132"/>
      <c r="CB943" s="129"/>
      <c r="CC943" s="129"/>
      <c r="CD943" s="132"/>
      <c r="CE943" s="129"/>
      <c r="CF943" s="129"/>
      <c r="CG943" s="132"/>
      <c r="CH943" s="129"/>
      <c r="CI943" s="129"/>
      <c r="CJ943" s="132"/>
      <c r="CK943" s="129"/>
      <c r="CL943" s="129"/>
      <c r="CM943" s="132"/>
      <c r="CN943" s="129"/>
      <c r="CO943" s="129"/>
      <c r="CP943" s="132"/>
      <c r="CQ943" s="129"/>
      <c r="CR943" s="129"/>
      <c r="CS943" s="132"/>
      <c r="CT943" s="129"/>
      <c r="CU943" s="129"/>
      <c r="CV943" s="132"/>
      <c r="CW943" s="129"/>
      <c r="CX943" s="129"/>
      <c r="CY943" s="132"/>
      <c r="CZ943" s="129"/>
      <c r="DA943" s="129"/>
      <c r="DB943" s="132"/>
      <c r="DC943" s="129"/>
      <c r="DD943" s="129"/>
      <c r="DE943" s="132"/>
      <c r="DF943" s="129"/>
      <c r="DG943" s="129"/>
      <c r="DH943" s="132"/>
      <c r="DI943" s="129"/>
      <c r="DJ943" s="129"/>
      <c r="DK943" s="132"/>
      <c r="DL943" s="129"/>
      <c r="DM943" s="129"/>
      <c r="DN943" s="132"/>
      <c r="DO943" s="129"/>
      <c r="DP943" s="129"/>
      <c r="DQ943" s="132"/>
      <c r="DR943" s="129"/>
      <c r="DS943" s="129"/>
      <c r="DT943" s="132"/>
      <c r="DU943" s="129"/>
      <c r="DV943" s="129"/>
      <c r="DW943" s="132"/>
      <c r="DX943" s="129"/>
      <c r="DY943" s="129"/>
      <c r="DZ943" s="132"/>
      <c r="EA943" s="129"/>
      <c r="EB943" s="129"/>
      <c r="EC943" s="132"/>
      <c r="ED943" s="129"/>
      <c r="EE943" s="129"/>
      <c r="EF943" s="132"/>
      <c r="EG943" s="129"/>
      <c r="EH943" s="129"/>
      <c r="EI943" s="132"/>
      <c r="EJ943" s="129"/>
      <c r="EK943" s="129"/>
      <c r="EL943" s="132"/>
      <c r="EM943" s="129"/>
      <c r="EN943" s="129"/>
      <c r="EO943" s="132"/>
      <c r="EP943" s="129"/>
      <c r="EQ943" s="129"/>
      <c r="ER943" s="132"/>
      <c r="ES943" s="129"/>
      <c r="ET943" s="129"/>
      <c r="EU943" s="132"/>
      <c r="EV943" s="129"/>
      <c r="EW943" s="129"/>
      <c r="EX943" s="132"/>
      <c r="EY943" s="129"/>
      <c r="EZ943" s="129"/>
      <c r="FA943" s="132"/>
      <c r="FB943" s="129"/>
      <c r="FC943" s="129"/>
      <c r="FD943" s="132"/>
      <c r="FE943" s="129"/>
      <c r="FF943" s="129"/>
      <c r="FG943" s="132"/>
      <c r="FH943" s="129"/>
      <c r="FI943" s="129"/>
      <c r="FJ943" s="132"/>
      <c r="FK943" s="129"/>
      <c r="FL943" s="129"/>
      <c r="FM943" s="132"/>
      <c r="FN943" s="129"/>
      <c r="FO943" s="129"/>
      <c r="FP943" s="132"/>
      <c r="FQ943" s="129"/>
      <c r="FR943" s="129"/>
      <c r="FS943" s="132"/>
      <c r="FT943" s="129"/>
      <c r="FU943" s="129"/>
      <c r="FV943" s="132"/>
      <c r="FW943" s="129"/>
      <c r="FX943" s="129"/>
      <c r="FY943" s="132"/>
      <c r="FZ943" s="129"/>
      <c r="GA943" s="129"/>
      <c r="GB943" s="132"/>
      <c r="GC943" s="129"/>
      <c r="GD943" s="129"/>
      <c r="GE943" s="132"/>
      <c r="GF943" s="129"/>
      <c r="GG943" s="129"/>
      <c r="GH943" s="132"/>
      <c r="GI943" s="129"/>
      <c r="GJ943" s="129"/>
      <c r="GK943" s="132"/>
      <c r="GL943" s="129"/>
      <c r="GM943" s="129"/>
      <c r="GN943" s="132"/>
      <c r="GO943" s="129"/>
      <c r="GP943" s="129"/>
      <c r="GQ943" s="132"/>
      <c r="GR943" s="129"/>
      <c r="GS943" s="129"/>
      <c r="GT943" s="132"/>
      <c r="GU943" s="129"/>
      <c r="GV943" s="129"/>
      <c r="GW943" s="132"/>
      <c r="GX943" s="129"/>
      <c r="GY943" s="129"/>
      <c r="GZ943" s="132"/>
      <c r="HA943" s="129"/>
      <c r="HB943" s="129"/>
      <c r="HC943" s="132"/>
      <c r="HD943" s="129"/>
      <c r="HE943" s="129"/>
      <c r="HF943" s="132"/>
      <c r="HG943" s="129"/>
      <c r="HH943" s="129"/>
      <c r="HI943" s="132"/>
      <c r="HJ943" s="129"/>
      <c r="HK943" s="129"/>
      <c r="HL943" s="132"/>
      <c r="HM943" s="129"/>
      <c r="HN943" s="129"/>
      <c r="HO943" s="132"/>
      <c r="HP943" s="129"/>
      <c r="HQ943" s="129"/>
      <c r="HR943" s="132"/>
      <c r="HS943" s="129"/>
      <c r="HT943" s="129"/>
      <c r="HU943" s="132"/>
      <c r="HV943" s="129"/>
      <c r="HW943" s="129"/>
      <c r="HX943" s="132"/>
      <c r="HY943" s="129"/>
      <c r="HZ943" s="129"/>
      <c r="IA943" s="132"/>
      <c r="IB943" s="129"/>
      <c r="IC943" s="129"/>
      <c r="ID943" s="132"/>
      <c r="IE943" s="129"/>
      <c r="IF943" s="129"/>
      <c r="IG943" s="132"/>
      <c r="IH943" s="129"/>
      <c r="II943" s="129"/>
      <c r="IJ943" s="132"/>
      <c r="IK943" s="129"/>
      <c r="IL943" s="129"/>
      <c r="IM943" s="132"/>
      <c r="IN943" s="129"/>
      <c r="IO943" s="129"/>
      <c r="IP943" s="132"/>
      <c r="IQ943" s="129"/>
      <c r="IR943" s="129"/>
      <c r="IS943" s="132"/>
      <c r="IT943" s="129"/>
      <c r="IU943" s="129"/>
      <c r="IV943" s="132"/>
    </row>
    <row r="944" spans="1:256" ht="24" customHeight="1">
      <c r="A944" s="132"/>
      <c r="B944" s="118"/>
      <c r="C944" s="132" t="s">
        <v>777</v>
      </c>
      <c r="D944" s="129" t="s">
        <v>790</v>
      </c>
      <c r="E944" s="129"/>
      <c r="F944" s="130"/>
      <c r="G944" s="399" t="s">
        <v>592</v>
      </c>
      <c r="H944" s="120">
        <v>44.25</v>
      </c>
      <c r="I944" s="417">
        <v>76.69</v>
      </c>
      <c r="J944" s="120">
        <v>76.69</v>
      </c>
      <c r="K944" s="404"/>
      <c r="L944" s="120">
        <f t="shared" si="312"/>
        <v>76.69</v>
      </c>
      <c r="M944" s="120">
        <f t="shared" si="313"/>
        <v>3393.5324999999998</v>
      </c>
      <c r="N944" s="120">
        <f t="shared" si="314"/>
        <v>3393.5324999999998</v>
      </c>
      <c r="O944" s="404">
        <f t="shared" si="315"/>
        <v>0</v>
      </c>
      <c r="P944" s="127">
        <f t="shared" si="316"/>
        <v>3393.5324999999998</v>
      </c>
      <c r="Q944" s="129"/>
      <c r="R944" s="129"/>
      <c r="S944" s="132"/>
      <c r="T944" s="129"/>
      <c r="U944" s="129"/>
      <c r="V944" s="132"/>
      <c r="W944" s="129"/>
      <c r="X944" s="129"/>
      <c r="Y944" s="132"/>
      <c r="Z944" s="129"/>
      <c r="AA944" s="129"/>
      <c r="AB944" s="132"/>
      <c r="AC944" s="129"/>
      <c r="AD944" s="129"/>
      <c r="AE944" s="132"/>
      <c r="AF944" s="129"/>
      <c r="AG944" s="129"/>
      <c r="AH944" s="132"/>
      <c r="AI944" s="129"/>
      <c r="AJ944" s="129"/>
      <c r="AK944" s="132"/>
      <c r="AL944" s="129"/>
      <c r="AM944" s="129"/>
      <c r="AN944" s="132"/>
      <c r="AO944" s="129"/>
      <c r="AP944" s="129"/>
      <c r="AQ944" s="132"/>
      <c r="AR944" s="129"/>
      <c r="AS944" s="129"/>
      <c r="AT944" s="132"/>
      <c r="AU944" s="129"/>
      <c r="AV944" s="129"/>
      <c r="AW944" s="132"/>
      <c r="AX944" s="129"/>
      <c r="AY944" s="129"/>
      <c r="AZ944" s="132"/>
      <c r="BA944" s="129"/>
      <c r="BB944" s="129"/>
      <c r="BC944" s="132"/>
      <c r="BD944" s="129"/>
      <c r="BE944" s="129"/>
      <c r="BF944" s="132"/>
      <c r="BG944" s="129"/>
      <c r="BH944" s="129"/>
      <c r="BI944" s="132"/>
      <c r="BJ944" s="129"/>
      <c r="BK944" s="129"/>
      <c r="BL944" s="132"/>
      <c r="BM944" s="129"/>
      <c r="BN944" s="129"/>
      <c r="BO944" s="132"/>
      <c r="BP944" s="129"/>
      <c r="BQ944" s="129"/>
      <c r="BR944" s="132"/>
      <c r="BS944" s="129"/>
      <c r="BT944" s="129"/>
      <c r="BU944" s="132"/>
      <c r="BV944" s="129"/>
      <c r="BW944" s="129"/>
      <c r="BX944" s="132"/>
      <c r="BY944" s="129"/>
      <c r="BZ944" s="129"/>
      <c r="CA944" s="132"/>
      <c r="CB944" s="129"/>
      <c r="CC944" s="129"/>
      <c r="CD944" s="132"/>
      <c r="CE944" s="129"/>
      <c r="CF944" s="129"/>
      <c r="CG944" s="132"/>
      <c r="CH944" s="129"/>
      <c r="CI944" s="129"/>
      <c r="CJ944" s="132"/>
      <c r="CK944" s="129"/>
      <c r="CL944" s="129"/>
      <c r="CM944" s="132"/>
      <c r="CN944" s="129"/>
      <c r="CO944" s="129"/>
      <c r="CP944" s="132"/>
      <c r="CQ944" s="129"/>
      <c r="CR944" s="129"/>
      <c r="CS944" s="132"/>
      <c r="CT944" s="129"/>
      <c r="CU944" s="129"/>
      <c r="CV944" s="132"/>
      <c r="CW944" s="129"/>
      <c r="CX944" s="129"/>
      <c r="CY944" s="132"/>
      <c r="CZ944" s="129"/>
      <c r="DA944" s="129"/>
      <c r="DB944" s="132"/>
      <c r="DC944" s="129"/>
      <c r="DD944" s="129"/>
      <c r="DE944" s="132"/>
      <c r="DF944" s="129"/>
      <c r="DG944" s="129"/>
      <c r="DH944" s="132"/>
      <c r="DI944" s="129"/>
      <c r="DJ944" s="129"/>
      <c r="DK944" s="132"/>
      <c r="DL944" s="129"/>
      <c r="DM944" s="129"/>
      <c r="DN944" s="132"/>
      <c r="DO944" s="129"/>
      <c r="DP944" s="129"/>
      <c r="DQ944" s="132"/>
      <c r="DR944" s="129"/>
      <c r="DS944" s="129"/>
      <c r="DT944" s="132"/>
      <c r="DU944" s="129"/>
      <c r="DV944" s="129"/>
      <c r="DW944" s="132"/>
      <c r="DX944" s="129"/>
      <c r="DY944" s="129"/>
      <c r="DZ944" s="132"/>
      <c r="EA944" s="129"/>
      <c r="EB944" s="129"/>
      <c r="EC944" s="132"/>
      <c r="ED944" s="129"/>
      <c r="EE944" s="129"/>
      <c r="EF944" s="132"/>
      <c r="EG944" s="129"/>
      <c r="EH944" s="129"/>
      <c r="EI944" s="132"/>
      <c r="EJ944" s="129"/>
      <c r="EK944" s="129"/>
      <c r="EL944" s="132"/>
      <c r="EM944" s="129"/>
      <c r="EN944" s="129"/>
      <c r="EO944" s="132"/>
      <c r="EP944" s="129"/>
      <c r="EQ944" s="129"/>
      <c r="ER944" s="132"/>
      <c r="ES944" s="129"/>
      <c r="ET944" s="129"/>
      <c r="EU944" s="132"/>
      <c r="EV944" s="129"/>
      <c r="EW944" s="129"/>
      <c r="EX944" s="132"/>
      <c r="EY944" s="129"/>
      <c r="EZ944" s="129"/>
      <c r="FA944" s="132"/>
      <c r="FB944" s="129"/>
      <c r="FC944" s="129"/>
      <c r="FD944" s="132"/>
      <c r="FE944" s="129"/>
      <c r="FF944" s="129"/>
      <c r="FG944" s="132"/>
      <c r="FH944" s="129"/>
      <c r="FI944" s="129"/>
      <c r="FJ944" s="132"/>
      <c r="FK944" s="129"/>
      <c r="FL944" s="129"/>
      <c r="FM944" s="132"/>
      <c r="FN944" s="129"/>
      <c r="FO944" s="129"/>
      <c r="FP944" s="132"/>
      <c r="FQ944" s="129"/>
      <c r="FR944" s="129"/>
      <c r="FS944" s="132"/>
      <c r="FT944" s="129"/>
      <c r="FU944" s="129"/>
      <c r="FV944" s="132"/>
      <c r="FW944" s="129"/>
      <c r="FX944" s="129"/>
      <c r="FY944" s="132"/>
      <c r="FZ944" s="129"/>
      <c r="GA944" s="129"/>
      <c r="GB944" s="132"/>
      <c r="GC944" s="129"/>
      <c r="GD944" s="129"/>
      <c r="GE944" s="132"/>
      <c r="GF944" s="129"/>
      <c r="GG944" s="129"/>
      <c r="GH944" s="132"/>
      <c r="GI944" s="129"/>
      <c r="GJ944" s="129"/>
      <c r="GK944" s="132"/>
      <c r="GL944" s="129"/>
      <c r="GM944" s="129"/>
      <c r="GN944" s="132"/>
      <c r="GO944" s="129"/>
      <c r="GP944" s="129"/>
      <c r="GQ944" s="132"/>
      <c r="GR944" s="129"/>
      <c r="GS944" s="129"/>
      <c r="GT944" s="132"/>
      <c r="GU944" s="129"/>
      <c r="GV944" s="129"/>
      <c r="GW944" s="132"/>
      <c r="GX944" s="129"/>
      <c r="GY944" s="129"/>
      <c r="GZ944" s="132"/>
      <c r="HA944" s="129"/>
      <c r="HB944" s="129"/>
      <c r="HC944" s="132"/>
      <c r="HD944" s="129"/>
      <c r="HE944" s="129"/>
      <c r="HF944" s="132"/>
      <c r="HG944" s="129"/>
      <c r="HH944" s="129"/>
      <c r="HI944" s="132"/>
      <c r="HJ944" s="129"/>
      <c r="HK944" s="129"/>
      <c r="HL944" s="132"/>
      <c r="HM944" s="129"/>
      <c r="HN944" s="129"/>
      <c r="HO944" s="132"/>
      <c r="HP944" s="129"/>
      <c r="HQ944" s="129"/>
      <c r="HR944" s="132"/>
      <c r="HS944" s="129"/>
      <c r="HT944" s="129"/>
      <c r="HU944" s="132"/>
      <c r="HV944" s="129"/>
      <c r="HW944" s="129"/>
      <c r="HX944" s="132"/>
      <c r="HY944" s="129"/>
      <c r="HZ944" s="129"/>
      <c r="IA944" s="132"/>
      <c r="IB944" s="129"/>
      <c r="IC944" s="129"/>
      <c r="ID944" s="132"/>
      <c r="IE944" s="129"/>
      <c r="IF944" s="129"/>
      <c r="IG944" s="132"/>
      <c r="IH944" s="129"/>
      <c r="II944" s="129"/>
      <c r="IJ944" s="132"/>
      <c r="IK944" s="129"/>
      <c r="IL944" s="129"/>
      <c r="IM944" s="132"/>
      <c r="IN944" s="129"/>
      <c r="IO944" s="129"/>
      <c r="IP944" s="132"/>
      <c r="IQ944" s="129"/>
      <c r="IR944" s="129"/>
      <c r="IS944" s="132"/>
      <c r="IT944" s="129"/>
      <c r="IU944" s="129"/>
      <c r="IV944" s="132"/>
    </row>
    <row r="945" spans="1:256" ht="24" customHeight="1">
      <c r="A945" s="156"/>
      <c r="B945" s="118"/>
      <c r="C945" s="132"/>
      <c r="D945" s="129"/>
      <c r="E945" s="129"/>
      <c r="F945" s="130"/>
      <c r="G945" s="399"/>
      <c r="H945" s="120"/>
      <c r="I945" s="417"/>
      <c r="J945" s="120"/>
      <c r="K945" s="404"/>
      <c r="L945" s="120">
        <f t="shared" si="312"/>
        <v>0</v>
      </c>
      <c r="M945" s="120">
        <f t="shared" si="313"/>
        <v>0</v>
      </c>
      <c r="N945" s="120">
        <f t="shared" si="314"/>
        <v>0</v>
      </c>
      <c r="O945" s="404">
        <f t="shared" si="315"/>
        <v>0</v>
      </c>
      <c r="P945" s="127">
        <f t="shared" si="316"/>
        <v>0</v>
      </c>
      <c r="Q945" s="159"/>
      <c r="R945" s="159"/>
      <c r="S945" s="156"/>
      <c r="T945" s="159"/>
      <c r="U945" s="159"/>
      <c r="V945" s="156"/>
      <c r="W945" s="159"/>
      <c r="X945" s="159"/>
      <c r="Y945" s="156"/>
      <c r="Z945" s="159"/>
      <c r="AA945" s="159"/>
      <c r="AB945" s="156"/>
      <c r="AC945" s="159"/>
      <c r="AD945" s="159"/>
      <c r="AE945" s="156"/>
      <c r="AF945" s="159"/>
      <c r="AG945" s="159"/>
      <c r="AH945" s="156"/>
      <c r="AI945" s="159"/>
      <c r="AJ945" s="159"/>
      <c r="AK945" s="156"/>
      <c r="AL945" s="159"/>
      <c r="AM945" s="159"/>
      <c r="AN945" s="156"/>
      <c r="AO945" s="159"/>
      <c r="AP945" s="159"/>
      <c r="AQ945" s="156"/>
      <c r="AR945" s="159"/>
      <c r="AS945" s="159"/>
      <c r="AT945" s="156"/>
      <c r="AU945" s="159"/>
      <c r="AV945" s="159"/>
      <c r="AW945" s="156"/>
      <c r="AX945" s="159"/>
      <c r="AY945" s="159"/>
      <c r="AZ945" s="156"/>
      <c r="BA945" s="159"/>
      <c r="BB945" s="159"/>
      <c r="BC945" s="156"/>
      <c r="BD945" s="159"/>
      <c r="BE945" s="159"/>
      <c r="BF945" s="156"/>
      <c r="BG945" s="159"/>
      <c r="BH945" s="159"/>
      <c r="BI945" s="156"/>
      <c r="BJ945" s="159"/>
      <c r="BK945" s="159"/>
      <c r="BL945" s="156"/>
      <c r="BM945" s="159"/>
      <c r="BN945" s="159"/>
      <c r="BO945" s="156"/>
      <c r="BP945" s="159"/>
      <c r="BQ945" s="159"/>
      <c r="BR945" s="156"/>
      <c r="BS945" s="159"/>
      <c r="BT945" s="159"/>
      <c r="BU945" s="156"/>
      <c r="BV945" s="159"/>
      <c r="BW945" s="159"/>
      <c r="BX945" s="156"/>
      <c r="BY945" s="159"/>
      <c r="BZ945" s="159"/>
      <c r="CA945" s="156"/>
      <c r="CB945" s="159"/>
      <c r="CC945" s="159"/>
      <c r="CD945" s="156"/>
      <c r="CE945" s="159"/>
      <c r="CF945" s="159"/>
      <c r="CG945" s="156"/>
      <c r="CH945" s="159"/>
      <c r="CI945" s="159"/>
      <c r="CJ945" s="156"/>
      <c r="CK945" s="159"/>
      <c r="CL945" s="159"/>
      <c r="CM945" s="156"/>
      <c r="CN945" s="159"/>
      <c r="CO945" s="159"/>
      <c r="CP945" s="156"/>
      <c r="CQ945" s="159"/>
      <c r="CR945" s="159"/>
      <c r="CS945" s="156"/>
      <c r="CT945" s="159"/>
      <c r="CU945" s="159"/>
      <c r="CV945" s="156"/>
      <c r="CW945" s="159"/>
      <c r="CX945" s="159"/>
      <c r="CY945" s="156"/>
      <c r="CZ945" s="159"/>
      <c r="DA945" s="159"/>
      <c r="DB945" s="156"/>
      <c r="DC945" s="159"/>
      <c r="DD945" s="159"/>
      <c r="DE945" s="156"/>
      <c r="DF945" s="159"/>
      <c r="DG945" s="159"/>
      <c r="DH945" s="156"/>
      <c r="DI945" s="159"/>
      <c r="DJ945" s="159"/>
      <c r="DK945" s="156"/>
      <c r="DL945" s="159"/>
      <c r="DM945" s="159"/>
      <c r="DN945" s="156"/>
      <c r="DO945" s="159"/>
      <c r="DP945" s="159"/>
      <c r="DQ945" s="156"/>
      <c r="DR945" s="159"/>
      <c r="DS945" s="159"/>
      <c r="DT945" s="156"/>
      <c r="DU945" s="159"/>
      <c r="DV945" s="159"/>
      <c r="DW945" s="156"/>
      <c r="DX945" s="159"/>
      <c r="DY945" s="159"/>
      <c r="DZ945" s="156"/>
      <c r="EA945" s="159"/>
      <c r="EB945" s="159"/>
      <c r="EC945" s="156"/>
      <c r="ED945" s="159"/>
      <c r="EE945" s="159"/>
      <c r="EF945" s="156"/>
      <c r="EG945" s="159"/>
      <c r="EH945" s="159"/>
      <c r="EI945" s="156"/>
      <c r="EJ945" s="159"/>
      <c r="EK945" s="159"/>
      <c r="EL945" s="156"/>
      <c r="EM945" s="159"/>
      <c r="EN945" s="159"/>
      <c r="EO945" s="156"/>
      <c r="EP945" s="159"/>
      <c r="EQ945" s="159"/>
      <c r="ER945" s="156"/>
      <c r="ES945" s="159"/>
      <c r="ET945" s="159"/>
      <c r="EU945" s="156"/>
      <c r="EV945" s="159"/>
      <c r="EW945" s="159"/>
      <c r="EX945" s="156"/>
      <c r="EY945" s="159"/>
      <c r="EZ945" s="159"/>
      <c r="FA945" s="156"/>
      <c r="FB945" s="159"/>
      <c r="FC945" s="159"/>
      <c r="FD945" s="156"/>
      <c r="FE945" s="159"/>
      <c r="FF945" s="159"/>
      <c r="FG945" s="156"/>
      <c r="FH945" s="159"/>
      <c r="FI945" s="159"/>
      <c r="FJ945" s="156"/>
      <c r="FK945" s="159"/>
      <c r="FL945" s="159"/>
      <c r="FM945" s="156"/>
      <c r="FN945" s="159"/>
      <c r="FO945" s="159"/>
      <c r="FP945" s="156"/>
      <c r="FQ945" s="159"/>
      <c r="FR945" s="159"/>
      <c r="FS945" s="156"/>
      <c r="FT945" s="159"/>
      <c r="FU945" s="159"/>
      <c r="FV945" s="156"/>
      <c r="FW945" s="159"/>
      <c r="FX945" s="159"/>
      <c r="FY945" s="156"/>
      <c r="FZ945" s="159"/>
      <c r="GA945" s="159"/>
      <c r="GB945" s="156"/>
      <c r="GC945" s="159"/>
      <c r="GD945" s="159"/>
      <c r="GE945" s="156"/>
      <c r="GF945" s="159"/>
      <c r="GG945" s="159"/>
      <c r="GH945" s="156"/>
      <c r="GI945" s="159"/>
      <c r="GJ945" s="159"/>
      <c r="GK945" s="156"/>
      <c r="GL945" s="159"/>
      <c r="GM945" s="159"/>
      <c r="GN945" s="156"/>
      <c r="GO945" s="159"/>
      <c r="GP945" s="159"/>
      <c r="GQ945" s="156"/>
      <c r="GR945" s="159"/>
      <c r="GS945" s="159"/>
      <c r="GT945" s="156"/>
      <c r="GU945" s="159"/>
      <c r="GV945" s="159"/>
      <c r="GW945" s="156"/>
      <c r="GX945" s="159"/>
      <c r="GY945" s="159"/>
      <c r="GZ945" s="156"/>
      <c r="HA945" s="159"/>
      <c r="HB945" s="159"/>
      <c r="HC945" s="156"/>
      <c r="HD945" s="159"/>
      <c r="HE945" s="159"/>
      <c r="HF945" s="156"/>
      <c r="HG945" s="159"/>
      <c r="HH945" s="159"/>
      <c r="HI945" s="156"/>
      <c r="HJ945" s="159"/>
      <c r="HK945" s="159"/>
      <c r="HL945" s="156"/>
      <c r="HM945" s="159"/>
      <c r="HN945" s="159"/>
      <c r="HO945" s="156"/>
      <c r="HP945" s="159"/>
      <c r="HQ945" s="159"/>
      <c r="HR945" s="156"/>
      <c r="HS945" s="159"/>
      <c r="HT945" s="159"/>
      <c r="HU945" s="156"/>
      <c r="HV945" s="159"/>
      <c r="HW945" s="159"/>
      <c r="HX945" s="156"/>
      <c r="HY945" s="159"/>
      <c r="HZ945" s="159"/>
      <c r="IA945" s="156"/>
      <c r="IB945" s="159"/>
      <c r="IC945" s="159"/>
      <c r="ID945" s="156"/>
      <c r="IE945" s="159"/>
      <c r="IF945" s="159"/>
      <c r="IG945" s="156"/>
      <c r="IH945" s="159"/>
      <c r="II945" s="159"/>
      <c r="IJ945" s="156"/>
      <c r="IK945" s="159"/>
      <c r="IL945" s="159"/>
      <c r="IM945" s="156"/>
      <c r="IN945" s="159"/>
      <c r="IO945" s="159"/>
      <c r="IP945" s="156"/>
      <c r="IQ945" s="159"/>
      <c r="IR945" s="159"/>
      <c r="IS945" s="156"/>
      <c r="IT945" s="159"/>
      <c r="IU945" s="159"/>
      <c r="IV945" s="156"/>
    </row>
    <row r="946" spans="1:256" ht="24" customHeight="1">
      <c r="A946" s="132"/>
      <c r="B946" s="147"/>
      <c r="C946" s="132" t="s">
        <v>789</v>
      </c>
      <c r="D946" s="129" t="s">
        <v>791</v>
      </c>
      <c r="E946" s="129"/>
      <c r="F946" s="130"/>
      <c r="G946" s="399" t="s">
        <v>592</v>
      </c>
      <c r="H946" s="120">
        <v>44.25</v>
      </c>
      <c r="I946" s="417">
        <v>31.49</v>
      </c>
      <c r="J946" s="120">
        <v>31.49</v>
      </c>
      <c r="K946" s="404"/>
      <c r="L946" s="120">
        <f t="shared" si="312"/>
        <v>31.49</v>
      </c>
      <c r="M946" s="120">
        <f t="shared" si="313"/>
        <v>1393.4324999999999</v>
      </c>
      <c r="N946" s="120">
        <f t="shared" si="314"/>
        <v>1393.4324999999999</v>
      </c>
      <c r="O946" s="404">
        <f t="shared" si="315"/>
        <v>0</v>
      </c>
      <c r="P946" s="127">
        <f t="shared" si="316"/>
        <v>1393.4324999999999</v>
      </c>
      <c r="Q946" s="129"/>
      <c r="R946" s="129"/>
      <c r="S946" s="132"/>
      <c r="T946" s="129"/>
      <c r="U946" s="129"/>
      <c r="V946" s="132"/>
      <c r="W946" s="129"/>
      <c r="X946" s="129"/>
      <c r="Y946" s="132"/>
      <c r="Z946" s="129"/>
      <c r="AA946" s="129"/>
      <c r="AB946" s="132"/>
      <c r="AC946" s="129"/>
      <c r="AD946" s="129"/>
      <c r="AE946" s="132"/>
      <c r="AF946" s="129"/>
      <c r="AG946" s="129"/>
      <c r="AH946" s="132"/>
      <c r="AI946" s="129"/>
      <c r="AJ946" s="129"/>
      <c r="AK946" s="132"/>
      <c r="AL946" s="129"/>
      <c r="AM946" s="129"/>
      <c r="AN946" s="132"/>
      <c r="AO946" s="129"/>
      <c r="AP946" s="129"/>
      <c r="AQ946" s="132"/>
      <c r="AR946" s="129"/>
      <c r="AS946" s="129"/>
      <c r="AT946" s="132"/>
      <c r="AU946" s="129"/>
      <c r="AV946" s="129"/>
      <c r="AW946" s="132"/>
      <c r="AX946" s="129"/>
      <c r="AY946" s="129"/>
      <c r="AZ946" s="132"/>
      <c r="BA946" s="129"/>
      <c r="BB946" s="129"/>
      <c r="BC946" s="132"/>
      <c r="BD946" s="129"/>
      <c r="BE946" s="129"/>
      <c r="BF946" s="132"/>
      <c r="BG946" s="129"/>
      <c r="BH946" s="129"/>
      <c r="BI946" s="132"/>
      <c r="BJ946" s="129"/>
      <c r="BK946" s="129"/>
      <c r="BL946" s="132"/>
      <c r="BM946" s="129"/>
      <c r="BN946" s="129"/>
      <c r="BO946" s="132"/>
      <c r="BP946" s="129"/>
      <c r="BQ946" s="129"/>
      <c r="BR946" s="132"/>
      <c r="BS946" s="129"/>
      <c r="BT946" s="129"/>
      <c r="BU946" s="132"/>
      <c r="BV946" s="129"/>
      <c r="BW946" s="129"/>
      <c r="BX946" s="132"/>
      <c r="BY946" s="129"/>
      <c r="BZ946" s="129"/>
      <c r="CA946" s="132"/>
      <c r="CB946" s="129"/>
      <c r="CC946" s="129"/>
      <c r="CD946" s="132"/>
      <c r="CE946" s="129"/>
      <c r="CF946" s="129"/>
      <c r="CG946" s="132"/>
      <c r="CH946" s="129"/>
      <c r="CI946" s="129"/>
      <c r="CJ946" s="132"/>
      <c r="CK946" s="129"/>
      <c r="CL946" s="129"/>
      <c r="CM946" s="132"/>
      <c r="CN946" s="129"/>
      <c r="CO946" s="129"/>
      <c r="CP946" s="132"/>
      <c r="CQ946" s="129"/>
      <c r="CR946" s="129"/>
      <c r="CS946" s="132"/>
      <c r="CT946" s="129"/>
      <c r="CU946" s="129"/>
      <c r="CV946" s="132"/>
      <c r="CW946" s="129"/>
      <c r="CX946" s="129"/>
      <c r="CY946" s="132"/>
      <c r="CZ946" s="129"/>
      <c r="DA946" s="129"/>
      <c r="DB946" s="132"/>
      <c r="DC946" s="129"/>
      <c r="DD946" s="129"/>
      <c r="DE946" s="132"/>
      <c r="DF946" s="129"/>
      <c r="DG946" s="129"/>
      <c r="DH946" s="132"/>
      <c r="DI946" s="129"/>
      <c r="DJ946" s="129"/>
      <c r="DK946" s="132"/>
      <c r="DL946" s="129"/>
      <c r="DM946" s="129"/>
      <c r="DN946" s="132"/>
      <c r="DO946" s="129"/>
      <c r="DP946" s="129"/>
      <c r="DQ946" s="132"/>
      <c r="DR946" s="129"/>
      <c r="DS946" s="129"/>
      <c r="DT946" s="132"/>
      <c r="DU946" s="129"/>
      <c r="DV946" s="129"/>
      <c r="DW946" s="132"/>
      <c r="DX946" s="129"/>
      <c r="DY946" s="129"/>
      <c r="DZ946" s="132"/>
      <c r="EA946" s="129"/>
      <c r="EB946" s="129"/>
      <c r="EC946" s="132"/>
      <c r="ED946" s="129"/>
      <c r="EE946" s="129"/>
      <c r="EF946" s="132"/>
      <c r="EG946" s="129"/>
      <c r="EH946" s="129"/>
      <c r="EI946" s="132"/>
      <c r="EJ946" s="129"/>
      <c r="EK946" s="129"/>
      <c r="EL946" s="132"/>
      <c r="EM946" s="129"/>
      <c r="EN946" s="129"/>
      <c r="EO946" s="132"/>
      <c r="EP946" s="129"/>
      <c r="EQ946" s="129"/>
      <c r="ER946" s="132"/>
      <c r="ES946" s="129"/>
      <c r="ET946" s="129"/>
      <c r="EU946" s="132"/>
      <c r="EV946" s="129"/>
      <c r="EW946" s="129"/>
      <c r="EX946" s="132"/>
      <c r="EY946" s="129"/>
      <c r="EZ946" s="129"/>
      <c r="FA946" s="132"/>
      <c r="FB946" s="129"/>
      <c r="FC946" s="129"/>
      <c r="FD946" s="132"/>
      <c r="FE946" s="129"/>
      <c r="FF946" s="129"/>
      <c r="FG946" s="132"/>
      <c r="FH946" s="129"/>
      <c r="FI946" s="129"/>
      <c r="FJ946" s="132"/>
      <c r="FK946" s="129"/>
      <c r="FL946" s="129"/>
      <c r="FM946" s="132"/>
      <c r="FN946" s="129"/>
      <c r="FO946" s="129"/>
      <c r="FP946" s="132"/>
      <c r="FQ946" s="129"/>
      <c r="FR946" s="129"/>
      <c r="FS946" s="132"/>
      <c r="FT946" s="129"/>
      <c r="FU946" s="129"/>
      <c r="FV946" s="132"/>
      <c r="FW946" s="129"/>
      <c r="FX946" s="129"/>
      <c r="FY946" s="132"/>
      <c r="FZ946" s="129"/>
      <c r="GA946" s="129"/>
      <c r="GB946" s="132"/>
      <c r="GC946" s="129"/>
      <c r="GD946" s="129"/>
      <c r="GE946" s="132"/>
      <c r="GF946" s="129"/>
      <c r="GG946" s="129"/>
      <c r="GH946" s="132"/>
      <c r="GI946" s="129"/>
      <c r="GJ946" s="129"/>
      <c r="GK946" s="132"/>
      <c r="GL946" s="129"/>
      <c r="GM946" s="129"/>
      <c r="GN946" s="132"/>
      <c r="GO946" s="129"/>
      <c r="GP946" s="129"/>
      <c r="GQ946" s="132"/>
      <c r="GR946" s="129"/>
      <c r="GS946" s="129"/>
      <c r="GT946" s="132"/>
      <c r="GU946" s="129"/>
      <c r="GV946" s="129"/>
      <c r="GW946" s="132"/>
      <c r="GX946" s="129"/>
      <c r="GY946" s="129"/>
      <c r="GZ946" s="132"/>
      <c r="HA946" s="129"/>
      <c r="HB946" s="129"/>
      <c r="HC946" s="132"/>
      <c r="HD946" s="129"/>
      <c r="HE946" s="129"/>
      <c r="HF946" s="132"/>
      <c r="HG946" s="129"/>
      <c r="HH946" s="129"/>
      <c r="HI946" s="132"/>
      <c r="HJ946" s="129"/>
      <c r="HK946" s="129"/>
      <c r="HL946" s="132"/>
      <c r="HM946" s="129"/>
      <c r="HN946" s="129"/>
      <c r="HO946" s="132"/>
      <c r="HP946" s="129"/>
      <c r="HQ946" s="129"/>
      <c r="HR946" s="132"/>
      <c r="HS946" s="129"/>
      <c r="HT946" s="129"/>
      <c r="HU946" s="132"/>
      <c r="HV946" s="129"/>
      <c r="HW946" s="129"/>
      <c r="HX946" s="132"/>
      <c r="HY946" s="129"/>
      <c r="HZ946" s="129"/>
      <c r="IA946" s="132"/>
      <c r="IB946" s="129"/>
      <c r="IC946" s="129"/>
      <c r="ID946" s="132"/>
      <c r="IE946" s="129"/>
      <c r="IF946" s="129"/>
      <c r="IG946" s="132"/>
      <c r="IH946" s="129"/>
      <c r="II946" s="129"/>
      <c r="IJ946" s="132"/>
      <c r="IK946" s="129"/>
      <c r="IL946" s="129"/>
      <c r="IM946" s="132"/>
      <c r="IN946" s="129"/>
      <c r="IO946" s="129"/>
      <c r="IP946" s="132"/>
      <c r="IQ946" s="129"/>
      <c r="IR946" s="129"/>
      <c r="IS946" s="132"/>
      <c r="IT946" s="129"/>
      <c r="IU946" s="129"/>
      <c r="IV946" s="132"/>
    </row>
    <row r="947" spans="1:256" ht="24" customHeight="1">
      <c r="A947" s="132"/>
      <c r="B947" s="118"/>
      <c r="C947" s="132"/>
      <c r="D947" s="129"/>
      <c r="E947" s="129"/>
      <c r="F947" s="130"/>
      <c r="G947" s="399"/>
      <c r="H947" s="120"/>
      <c r="I947" s="417"/>
      <c r="J947" s="120"/>
      <c r="K947" s="404"/>
      <c r="L947" s="120">
        <f t="shared" si="312"/>
        <v>0</v>
      </c>
      <c r="M947" s="120">
        <f t="shared" si="313"/>
        <v>0</v>
      </c>
      <c r="N947" s="120">
        <f t="shared" si="314"/>
        <v>0</v>
      </c>
      <c r="O947" s="404">
        <f t="shared" si="315"/>
        <v>0</v>
      </c>
      <c r="P947" s="127">
        <f t="shared" si="316"/>
        <v>0</v>
      </c>
      <c r="Q947" s="129"/>
      <c r="R947" s="129"/>
      <c r="S947" s="132"/>
      <c r="T947" s="129"/>
      <c r="U947" s="129"/>
      <c r="V947" s="132"/>
      <c r="W947" s="129"/>
      <c r="X947" s="129"/>
      <c r="Y947" s="132"/>
      <c r="Z947" s="129"/>
      <c r="AA947" s="129"/>
      <c r="AB947" s="132"/>
      <c r="AC947" s="129"/>
      <c r="AD947" s="129"/>
      <c r="AE947" s="132"/>
      <c r="AF947" s="129"/>
      <c r="AG947" s="129"/>
      <c r="AH947" s="132"/>
      <c r="AI947" s="129"/>
      <c r="AJ947" s="129"/>
      <c r="AK947" s="132"/>
      <c r="AL947" s="129"/>
      <c r="AM947" s="129"/>
      <c r="AN947" s="132"/>
      <c r="AO947" s="129"/>
      <c r="AP947" s="129"/>
      <c r="AQ947" s="132"/>
      <c r="AR947" s="129"/>
      <c r="AS947" s="129"/>
      <c r="AT947" s="132"/>
      <c r="AU947" s="129"/>
      <c r="AV947" s="129"/>
      <c r="AW947" s="132"/>
      <c r="AX947" s="129"/>
      <c r="AY947" s="129"/>
      <c r="AZ947" s="132"/>
      <c r="BA947" s="129"/>
      <c r="BB947" s="129"/>
      <c r="BC947" s="132"/>
      <c r="BD947" s="129"/>
      <c r="BE947" s="129"/>
      <c r="BF947" s="132"/>
      <c r="BG947" s="129"/>
      <c r="BH947" s="129"/>
      <c r="BI947" s="132"/>
      <c r="BJ947" s="129"/>
      <c r="BK947" s="129"/>
      <c r="BL947" s="132"/>
      <c r="BM947" s="129"/>
      <c r="BN947" s="129"/>
      <c r="BO947" s="132"/>
      <c r="BP947" s="129"/>
      <c r="BQ947" s="129"/>
      <c r="BR947" s="132"/>
      <c r="BS947" s="129"/>
      <c r="BT947" s="129"/>
      <c r="BU947" s="132"/>
      <c r="BV947" s="129"/>
      <c r="BW947" s="129"/>
      <c r="BX947" s="132"/>
      <c r="BY947" s="129"/>
      <c r="BZ947" s="129"/>
      <c r="CA947" s="132"/>
      <c r="CB947" s="129"/>
      <c r="CC947" s="129"/>
      <c r="CD947" s="132"/>
      <c r="CE947" s="129"/>
      <c r="CF947" s="129"/>
      <c r="CG947" s="132"/>
      <c r="CH947" s="129"/>
      <c r="CI947" s="129"/>
      <c r="CJ947" s="132"/>
      <c r="CK947" s="129"/>
      <c r="CL947" s="129"/>
      <c r="CM947" s="132"/>
      <c r="CN947" s="129"/>
      <c r="CO947" s="129"/>
      <c r="CP947" s="132"/>
      <c r="CQ947" s="129"/>
      <c r="CR947" s="129"/>
      <c r="CS947" s="132"/>
      <c r="CT947" s="129"/>
      <c r="CU947" s="129"/>
      <c r="CV947" s="132"/>
      <c r="CW947" s="129"/>
      <c r="CX947" s="129"/>
      <c r="CY947" s="132"/>
      <c r="CZ947" s="129"/>
      <c r="DA947" s="129"/>
      <c r="DB947" s="132"/>
      <c r="DC947" s="129"/>
      <c r="DD947" s="129"/>
      <c r="DE947" s="132"/>
      <c r="DF947" s="129"/>
      <c r="DG947" s="129"/>
      <c r="DH947" s="132"/>
      <c r="DI947" s="129"/>
      <c r="DJ947" s="129"/>
      <c r="DK947" s="132"/>
      <c r="DL947" s="129"/>
      <c r="DM947" s="129"/>
      <c r="DN947" s="132"/>
      <c r="DO947" s="129"/>
      <c r="DP947" s="129"/>
      <c r="DQ947" s="132"/>
      <c r="DR947" s="129"/>
      <c r="DS947" s="129"/>
      <c r="DT947" s="132"/>
      <c r="DU947" s="129"/>
      <c r="DV947" s="129"/>
      <c r="DW947" s="132"/>
      <c r="DX947" s="129"/>
      <c r="DY947" s="129"/>
      <c r="DZ947" s="132"/>
      <c r="EA947" s="129"/>
      <c r="EB947" s="129"/>
      <c r="EC947" s="132"/>
      <c r="ED947" s="129"/>
      <c r="EE947" s="129"/>
      <c r="EF947" s="132"/>
      <c r="EG947" s="129"/>
      <c r="EH947" s="129"/>
      <c r="EI947" s="132"/>
      <c r="EJ947" s="129"/>
      <c r="EK947" s="129"/>
      <c r="EL947" s="132"/>
      <c r="EM947" s="129"/>
      <c r="EN947" s="129"/>
      <c r="EO947" s="132"/>
      <c r="EP947" s="129"/>
      <c r="EQ947" s="129"/>
      <c r="ER947" s="132"/>
      <c r="ES947" s="129"/>
      <c r="ET947" s="129"/>
      <c r="EU947" s="132"/>
      <c r="EV947" s="129"/>
      <c r="EW947" s="129"/>
      <c r="EX947" s="132"/>
      <c r="EY947" s="129"/>
      <c r="EZ947" s="129"/>
      <c r="FA947" s="132"/>
      <c r="FB947" s="129"/>
      <c r="FC947" s="129"/>
      <c r="FD947" s="132"/>
      <c r="FE947" s="129"/>
      <c r="FF947" s="129"/>
      <c r="FG947" s="132"/>
      <c r="FH947" s="129"/>
      <c r="FI947" s="129"/>
      <c r="FJ947" s="132"/>
      <c r="FK947" s="129"/>
      <c r="FL947" s="129"/>
      <c r="FM947" s="132"/>
      <c r="FN947" s="129"/>
      <c r="FO947" s="129"/>
      <c r="FP947" s="132"/>
      <c r="FQ947" s="129"/>
      <c r="FR947" s="129"/>
      <c r="FS947" s="132"/>
      <c r="FT947" s="129"/>
      <c r="FU947" s="129"/>
      <c r="FV947" s="132"/>
      <c r="FW947" s="129"/>
      <c r="FX947" s="129"/>
      <c r="FY947" s="132"/>
      <c r="FZ947" s="129"/>
      <c r="GA947" s="129"/>
      <c r="GB947" s="132"/>
      <c r="GC947" s="129"/>
      <c r="GD947" s="129"/>
      <c r="GE947" s="132"/>
      <c r="GF947" s="129"/>
      <c r="GG947" s="129"/>
      <c r="GH947" s="132"/>
      <c r="GI947" s="129"/>
      <c r="GJ947" s="129"/>
      <c r="GK947" s="132"/>
      <c r="GL947" s="129"/>
      <c r="GM947" s="129"/>
      <c r="GN947" s="132"/>
      <c r="GO947" s="129"/>
      <c r="GP947" s="129"/>
      <c r="GQ947" s="132"/>
      <c r="GR947" s="129"/>
      <c r="GS947" s="129"/>
      <c r="GT947" s="132"/>
      <c r="GU947" s="129"/>
      <c r="GV947" s="129"/>
      <c r="GW947" s="132"/>
      <c r="GX947" s="129"/>
      <c r="GY947" s="129"/>
      <c r="GZ947" s="132"/>
      <c r="HA947" s="129"/>
      <c r="HB947" s="129"/>
      <c r="HC947" s="132"/>
      <c r="HD947" s="129"/>
      <c r="HE947" s="129"/>
      <c r="HF947" s="132"/>
      <c r="HG947" s="129"/>
      <c r="HH947" s="129"/>
      <c r="HI947" s="132"/>
      <c r="HJ947" s="129"/>
      <c r="HK947" s="129"/>
      <c r="HL947" s="132"/>
      <c r="HM947" s="129"/>
      <c r="HN947" s="129"/>
      <c r="HO947" s="132"/>
      <c r="HP947" s="129"/>
      <c r="HQ947" s="129"/>
      <c r="HR947" s="132"/>
      <c r="HS947" s="129"/>
      <c r="HT947" s="129"/>
      <c r="HU947" s="132"/>
      <c r="HV947" s="129"/>
      <c r="HW947" s="129"/>
      <c r="HX947" s="132"/>
      <c r="HY947" s="129"/>
      <c r="HZ947" s="129"/>
      <c r="IA947" s="132"/>
      <c r="IB947" s="129"/>
      <c r="IC947" s="129"/>
      <c r="ID947" s="132"/>
      <c r="IE947" s="129"/>
      <c r="IF947" s="129"/>
      <c r="IG947" s="132"/>
      <c r="IH947" s="129"/>
      <c r="II947" s="129"/>
      <c r="IJ947" s="132"/>
      <c r="IK947" s="129"/>
      <c r="IL947" s="129"/>
      <c r="IM947" s="132"/>
      <c r="IN947" s="129"/>
      <c r="IO947" s="129"/>
      <c r="IP947" s="132"/>
      <c r="IQ947" s="129"/>
      <c r="IR947" s="129"/>
      <c r="IS947" s="132"/>
      <c r="IT947" s="129"/>
      <c r="IU947" s="129"/>
      <c r="IV947" s="132"/>
    </row>
    <row r="948" spans="1:256" ht="24" customHeight="1">
      <c r="A948" s="156"/>
      <c r="B948" s="118"/>
      <c r="C948" s="132"/>
      <c r="D948" s="129"/>
      <c r="E948" s="129"/>
      <c r="F948" s="130"/>
      <c r="G948" s="399"/>
      <c r="H948" s="120"/>
      <c r="I948" s="417"/>
      <c r="J948" s="120"/>
      <c r="K948" s="404"/>
      <c r="L948" s="120">
        <f t="shared" si="312"/>
        <v>0</v>
      </c>
      <c r="M948" s="120">
        <f t="shared" si="313"/>
        <v>0</v>
      </c>
      <c r="N948" s="120">
        <f t="shared" si="314"/>
        <v>0</v>
      </c>
      <c r="O948" s="404">
        <f t="shared" si="315"/>
        <v>0</v>
      </c>
      <c r="P948" s="127">
        <f t="shared" si="316"/>
        <v>0</v>
      </c>
      <c r="Q948" s="159"/>
      <c r="R948" s="159"/>
      <c r="S948" s="156"/>
      <c r="T948" s="159"/>
      <c r="U948" s="159"/>
      <c r="V948" s="156"/>
      <c r="W948" s="159"/>
      <c r="X948" s="159"/>
      <c r="Y948" s="156"/>
      <c r="Z948" s="159"/>
      <c r="AA948" s="159"/>
      <c r="AB948" s="156"/>
      <c r="AC948" s="159"/>
      <c r="AD948" s="159"/>
      <c r="AE948" s="156"/>
      <c r="AF948" s="159"/>
      <c r="AG948" s="159"/>
      <c r="AH948" s="156"/>
      <c r="AI948" s="159"/>
      <c r="AJ948" s="159"/>
      <c r="AK948" s="156"/>
      <c r="AL948" s="159"/>
      <c r="AM948" s="159"/>
      <c r="AN948" s="156"/>
      <c r="AO948" s="159"/>
      <c r="AP948" s="159"/>
      <c r="AQ948" s="156"/>
      <c r="AR948" s="159"/>
      <c r="AS948" s="159"/>
      <c r="AT948" s="156"/>
      <c r="AU948" s="159"/>
      <c r="AV948" s="159"/>
      <c r="AW948" s="156"/>
      <c r="AX948" s="159"/>
      <c r="AY948" s="159"/>
      <c r="AZ948" s="156"/>
      <c r="BA948" s="159"/>
      <c r="BB948" s="159"/>
      <c r="BC948" s="156"/>
      <c r="BD948" s="159"/>
      <c r="BE948" s="159"/>
      <c r="BF948" s="156"/>
      <c r="BG948" s="159"/>
      <c r="BH948" s="159"/>
      <c r="BI948" s="156"/>
      <c r="BJ948" s="159"/>
      <c r="BK948" s="159"/>
      <c r="BL948" s="156"/>
      <c r="BM948" s="159"/>
      <c r="BN948" s="159"/>
      <c r="BO948" s="156"/>
      <c r="BP948" s="159"/>
      <c r="BQ948" s="159"/>
      <c r="BR948" s="156"/>
      <c r="BS948" s="159"/>
      <c r="BT948" s="159"/>
      <c r="BU948" s="156"/>
      <c r="BV948" s="159"/>
      <c r="BW948" s="159"/>
      <c r="BX948" s="156"/>
      <c r="BY948" s="159"/>
      <c r="BZ948" s="159"/>
      <c r="CA948" s="156"/>
      <c r="CB948" s="159"/>
      <c r="CC948" s="159"/>
      <c r="CD948" s="156"/>
      <c r="CE948" s="159"/>
      <c r="CF948" s="159"/>
      <c r="CG948" s="156"/>
      <c r="CH948" s="159"/>
      <c r="CI948" s="159"/>
      <c r="CJ948" s="156"/>
      <c r="CK948" s="159"/>
      <c r="CL948" s="159"/>
      <c r="CM948" s="156"/>
      <c r="CN948" s="159"/>
      <c r="CO948" s="159"/>
      <c r="CP948" s="156"/>
      <c r="CQ948" s="159"/>
      <c r="CR948" s="159"/>
      <c r="CS948" s="156"/>
      <c r="CT948" s="159"/>
      <c r="CU948" s="159"/>
      <c r="CV948" s="156"/>
      <c r="CW948" s="159"/>
      <c r="CX948" s="159"/>
      <c r="CY948" s="156"/>
      <c r="CZ948" s="159"/>
      <c r="DA948" s="159"/>
      <c r="DB948" s="156"/>
      <c r="DC948" s="159"/>
      <c r="DD948" s="159"/>
      <c r="DE948" s="156"/>
      <c r="DF948" s="159"/>
      <c r="DG948" s="159"/>
      <c r="DH948" s="156"/>
      <c r="DI948" s="159"/>
      <c r="DJ948" s="159"/>
      <c r="DK948" s="156"/>
      <c r="DL948" s="159"/>
      <c r="DM948" s="159"/>
      <c r="DN948" s="156"/>
      <c r="DO948" s="159"/>
      <c r="DP948" s="159"/>
      <c r="DQ948" s="156"/>
      <c r="DR948" s="159"/>
      <c r="DS948" s="159"/>
      <c r="DT948" s="156"/>
      <c r="DU948" s="159"/>
      <c r="DV948" s="159"/>
      <c r="DW948" s="156"/>
      <c r="DX948" s="159"/>
      <c r="DY948" s="159"/>
      <c r="DZ948" s="156"/>
      <c r="EA948" s="159"/>
      <c r="EB948" s="159"/>
      <c r="EC948" s="156"/>
      <c r="ED948" s="159"/>
      <c r="EE948" s="159"/>
      <c r="EF948" s="156"/>
      <c r="EG948" s="159"/>
      <c r="EH948" s="159"/>
      <c r="EI948" s="156"/>
      <c r="EJ948" s="159"/>
      <c r="EK948" s="159"/>
      <c r="EL948" s="156"/>
      <c r="EM948" s="159"/>
      <c r="EN948" s="159"/>
      <c r="EO948" s="156"/>
      <c r="EP948" s="159"/>
      <c r="EQ948" s="159"/>
      <c r="ER948" s="156"/>
      <c r="ES948" s="159"/>
      <c r="ET948" s="159"/>
      <c r="EU948" s="156"/>
      <c r="EV948" s="159"/>
      <c r="EW948" s="159"/>
      <c r="EX948" s="156"/>
      <c r="EY948" s="159"/>
      <c r="EZ948" s="159"/>
      <c r="FA948" s="156"/>
      <c r="FB948" s="159"/>
      <c r="FC948" s="159"/>
      <c r="FD948" s="156"/>
      <c r="FE948" s="159"/>
      <c r="FF948" s="159"/>
      <c r="FG948" s="156"/>
      <c r="FH948" s="159"/>
      <c r="FI948" s="159"/>
      <c r="FJ948" s="156"/>
      <c r="FK948" s="159"/>
      <c r="FL948" s="159"/>
      <c r="FM948" s="156"/>
      <c r="FN948" s="159"/>
      <c r="FO948" s="159"/>
      <c r="FP948" s="156"/>
      <c r="FQ948" s="159"/>
      <c r="FR948" s="159"/>
      <c r="FS948" s="156"/>
      <c r="FT948" s="159"/>
      <c r="FU948" s="159"/>
      <c r="FV948" s="156"/>
      <c r="FW948" s="159"/>
      <c r="FX948" s="159"/>
      <c r="FY948" s="156"/>
      <c r="FZ948" s="159"/>
      <c r="GA948" s="159"/>
      <c r="GB948" s="156"/>
      <c r="GC948" s="159"/>
      <c r="GD948" s="159"/>
      <c r="GE948" s="156"/>
      <c r="GF948" s="159"/>
      <c r="GG948" s="159"/>
      <c r="GH948" s="156"/>
      <c r="GI948" s="159"/>
      <c r="GJ948" s="159"/>
      <c r="GK948" s="156"/>
      <c r="GL948" s="159"/>
      <c r="GM948" s="159"/>
      <c r="GN948" s="156"/>
      <c r="GO948" s="159"/>
      <c r="GP948" s="159"/>
      <c r="GQ948" s="156"/>
      <c r="GR948" s="159"/>
      <c r="GS948" s="159"/>
      <c r="GT948" s="156"/>
      <c r="GU948" s="159"/>
      <c r="GV948" s="159"/>
      <c r="GW948" s="156"/>
      <c r="GX948" s="159"/>
      <c r="GY948" s="159"/>
      <c r="GZ948" s="156"/>
      <c r="HA948" s="159"/>
      <c r="HB948" s="159"/>
      <c r="HC948" s="156"/>
      <c r="HD948" s="159"/>
      <c r="HE948" s="159"/>
      <c r="HF948" s="156"/>
      <c r="HG948" s="159"/>
      <c r="HH948" s="159"/>
      <c r="HI948" s="156"/>
      <c r="HJ948" s="159"/>
      <c r="HK948" s="159"/>
      <c r="HL948" s="156"/>
      <c r="HM948" s="159"/>
      <c r="HN948" s="159"/>
      <c r="HO948" s="156"/>
      <c r="HP948" s="159"/>
      <c r="HQ948" s="159"/>
      <c r="HR948" s="156"/>
      <c r="HS948" s="159"/>
      <c r="HT948" s="159"/>
      <c r="HU948" s="156"/>
      <c r="HV948" s="159"/>
      <c r="HW948" s="159"/>
      <c r="HX948" s="156"/>
      <c r="HY948" s="159"/>
      <c r="HZ948" s="159"/>
      <c r="IA948" s="156"/>
      <c r="IB948" s="159"/>
      <c r="IC948" s="159"/>
      <c r="ID948" s="156"/>
      <c r="IE948" s="159"/>
      <c r="IF948" s="159"/>
      <c r="IG948" s="156"/>
      <c r="IH948" s="159"/>
      <c r="II948" s="159"/>
      <c r="IJ948" s="156"/>
      <c r="IK948" s="159"/>
      <c r="IL948" s="159"/>
      <c r="IM948" s="156"/>
      <c r="IN948" s="159"/>
      <c r="IO948" s="159"/>
      <c r="IP948" s="156"/>
      <c r="IQ948" s="159"/>
      <c r="IR948" s="159"/>
      <c r="IS948" s="156"/>
      <c r="IT948" s="159"/>
      <c r="IU948" s="159"/>
      <c r="IV948" s="156"/>
    </row>
    <row r="949" spans="1:256" ht="24" customHeight="1">
      <c r="A949" s="132"/>
      <c r="B949" s="118"/>
      <c r="C949" s="132" t="s">
        <v>793</v>
      </c>
      <c r="D949" s="129" t="s">
        <v>792</v>
      </c>
      <c r="E949" s="129"/>
      <c r="F949" s="130"/>
      <c r="G949" s="399" t="s">
        <v>841</v>
      </c>
      <c r="H949" s="120">
        <v>147.22999999999999</v>
      </c>
      <c r="I949" s="417">
        <v>1</v>
      </c>
      <c r="J949" s="120">
        <v>1</v>
      </c>
      <c r="K949" s="404"/>
      <c r="L949" s="120">
        <f t="shared" si="312"/>
        <v>1</v>
      </c>
      <c r="M949" s="120">
        <f t="shared" si="313"/>
        <v>147.22999999999999</v>
      </c>
      <c r="N949" s="120">
        <f t="shared" si="314"/>
        <v>147.22999999999999</v>
      </c>
      <c r="O949" s="404">
        <f t="shared" si="315"/>
        <v>0</v>
      </c>
      <c r="P949" s="127">
        <f t="shared" si="316"/>
        <v>147.22999999999999</v>
      </c>
      <c r="Q949" s="129"/>
      <c r="R949" s="129"/>
      <c r="S949" s="132"/>
      <c r="T949" s="129"/>
      <c r="U949" s="129"/>
      <c r="V949" s="132"/>
      <c r="W949" s="129"/>
      <c r="X949" s="129"/>
      <c r="Y949" s="132"/>
      <c r="Z949" s="129"/>
      <c r="AA949" s="129"/>
      <c r="AB949" s="132"/>
      <c r="AC949" s="129"/>
      <c r="AD949" s="129"/>
      <c r="AE949" s="132"/>
      <c r="AF949" s="129"/>
      <c r="AG949" s="129"/>
      <c r="AH949" s="132"/>
      <c r="AI949" s="129"/>
      <c r="AJ949" s="129"/>
      <c r="AK949" s="132"/>
      <c r="AL949" s="129"/>
      <c r="AM949" s="129"/>
      <c r="AN949" s="132"/>
      <c r="AO949" s="129"/>
      <c r="AP949" s="129"/>
      <c r="AQ949" s="132"/>
      <c r="AR949" s="129"/>
      <c r="AS949" s="129"/>
      <c r="AT949" s="132"/>
      <c r="AU949" s="129"/>
      <c r="AV949" s="129"/>
      <c r="AW949" s="132"/>
      <c r="AX949" s="129"/>
      <c r="AY949" s="129"/>
      <c r="AZ949" s="132"/>
      <c r="BA949" s="129"/>
      <c r="BB949" s="129"/>
      <c r="BC949" s="132"/>
      <c r="BD949" s="129"/>
      <c r="BE949" s="129"/>
      <c r="BF949" s="132"/>
      <c r="BG949" s="129"/>
      <c r="BH949" s="129"/>
      <c r="BI949" s="132"/>
      <c r="BJ949" s="129"/>
      <c r="BK949" s="129"/>
      <c r="BL949" s="132"/>
      <c r="BM949" s="129"/>
      <c r="BN949" s="129"/>
      <c r="BO949" s="132"/>
      <c r="BP949" s="129"/>
      <c r="BQ949" s="129"/>
      <c r="BR949" s="132"/>
      <c r="BS949" s="129"/>
      <c r="BT949" s="129"/>
      <c r="BU949" s="132"/>
      <c r="BV949" s="129"/>
      <c r="BW949" s="129"/>
      <c r="BX949" s="132"/>
      <c r="BY949" s="129"/>
      <c r="BZ949" s="129"/>
      <c r="CA949" s="132"/>
      <c r="CB949" s="129"/>
      <c r="CC949" s="129"/>
      <c r="CD949" s="132"/>
      <c r="CE949" s="129"/>
      <c r="CF949" s="129"/>
      <c r="CG949" s="132"/>
      <c r="CH949" s="129"/>
      <c r="CI949" s="129"/>
      <c r="CJ949" s="132"/>
      <c r="CK949" s="129"/>
      <c r="CL949" s="129"/>
      <c r="CM949" s="132"/>
      <c r="CN949" s="129"/>
      <c r="CO949" s="129"/>
      <c r="CP949" s="132"/>
      <c r="CQ949" s="129"/>
      <c r="CR949" s="129"/>
      <c r="CS949" s="132"/>
      <c r="CT949" s="129"/>
      <c r="CU949" s="129"/>
      <c r="CV949" s="132"/>
      <c r="CW949" s="129"/>
      <c r="CX949" s="129"/>
      <c r="CY949" s="132"/>
      <c r="CZ949" s="129"/>
      <c r="DA949" s="129"/>
      <c r="DB949" s="132"/>
      <c r="DC949" s="129"/>
      <c r="DD949" s="129"/>
      <c r="DE949" s="132"/>
      <c r="DF949" s="129"/>
      <c r="DG949" s="129"/>
      <c r="DH949" s="132"/>
      <c r="DI949" s="129"/>
      <c r="DJ949" s="129"/>
      <c r="DK949" s="132"/>
      <c r="DL949" s="129"/>
      <c r="DM949" s="129"/>
      <c r="DN949" s="132"/>
      <c r="DO949" s="129"/>
      <c r="DP949" s="129"/>
      <c r="DQ949" s="132"/>
      <c r="DR949" s="129"/>
      <c r="DS949" s="129"/>
      <c r="DT949" s="132"/>
      <c r="DU949" s="129"/>
      <c r="DV949" s="129"/>
      <c r="DW949" s="132"/>
      <c r="DX949" s="129"/>
      <c r="DY949" s="129"/>
      <c r="DZ949" s="132"/>
      <c r="EA949" s="129"/>
      <c r="EB949" s="129"/>
      <c r="EC949" s="132"/>
      <c r="ED949" s="129"/>
      <c r="EE949" s="129"/>
      <c r="EF949" s="132"/>
      <c r="EG949" s="129"/>
      <c r="EH949" s="129"/>
      <c r="EI949" s="132"/>
      <c r="EJ949" s="129"/>
      <c r="EK949" s="129"/>
      <c r="EL949" s="132"/>
      <c r="EM949" s="129"/>
      <c r="EN949" s="129"/>
      <c r="EO949" s="132"/>
      <c r="EP949" s="129"/>
      <c r="EQ949" s="129"/>
      <c r="ER949" s="132"/>
      <c r="ES949" s="129"/>
      <c r="ET949" s="129"/>
      <c r="EU949" s="132"/>
      <c r="EV949" s="129"/>
      <c r="EW949" s="129"/>
      <c r="EX949" s="132"/>
      <c r="EY949" s="129"/>
      <c r="EZ949" s="129"/>
      <c r="FA949" s="132"/>
      <c r="FB949" s="129"/>
      <c r="FC949" s="129"/>
      <c r="FD949" s="132"/>
      <c r="FE949" s="129"/>
      <c r="FF949" s="129"/>
      <c r="FG949" s="132"/>
      <c r="FH949" s="129"/>
      <c r="FI949" s="129"/>
      <c r="FJ949" s="132"/>
      <c r="FK949" s="129"/>
      <c r="FL949" s="129"/>
      <c r="FM949" s="132"/>
      <c r="FN949" s="129"/>
      <c r="FO949" s="129"/>
      <c r="FP949" s="132"/>
      <c r="FQ949" s="129"/>
      <c r="FR949" s="129"/>
      <c r="FS949" s="132"/>
      <c r="FT949" s="129"/>
      <c r="FU949" s="129"/>
      <c r="FV949" s="132"/>
      <c r="FW949" s="129"/>
      <c r="FX949" s="129"/>
      <c r="FY949" s="132"/>
      <c r="FZ949" s="129"/>
      <c r="GA949" s="129"/>
      <c r="GB949" s="132"/>
      <c r="GC949" s="129"/>
      <c r="GD949" s="129"/>
      <c r="GE949" s="132"/>
      <c r="GF949" s="129"/>
      <c r="GG949" s="129"/>
      <c r="GH949" s="132"/>
      <c r="GI949" s="129"/>
      <c r="GJ949" s="129"/>
      <c r="GK949" s="132"/>
      <c r="GL949" s="129"/>
      <c r="GM949" s="129"/>
      <c r="GN949" s="132"/>
      <c r="GO949" s="129"/>
      <c r="GP949" s="129"/>
      <c r="GQ949" s="132"/>
      <c r="GR949" s="129"/>
      <c r="GS949" s="129"/>
      <c r="GT949" s="132"/>
      <c r="GU949" s="129"/>
      <c r="GV949" s="129"/>
      <c r="GW949" s="132"/>
      <c r="GX949" s="129"/>
      <c r="GY949" s="129"/>
      <c r="GZ949" s="132"/>
      <c r="HA949" s="129"/>
      <c r="HB949" s="129"/>
      <c r="HC949" s="132"/>
      <c r="HD949" s="129"/>
      <c r="HE949" s="129"/>
      <c r="HF949" s="132"/>
      <c r="HG949" s="129"/>
      <c r="HH949" s="129"/>
      <c r="HI949" s="132"/>
      <c r="HJ949" s="129"/>
      <c r="HK949" s="129"/>
      <c r="HL949" s="132"/>
      <c r="HM949" s="129"/>
      <c r="HN949" s="129"/>
      <c r="HO949" s="132"/>
      <c r="HP949" s="129"/>
      <c r="HQ949" s="129"/>
      <c r="HR949" s="132"/>
      <c r="HS949" s="129"/>
      <c r="HT949" s="129"/>
      <c r="HU949" s="132"/>
      <c r="HV949" s="129"/>
      <c r="HW949" s="129"/>
      <c r="HX949" s="132"/>
      <c r="HY949" s="129"/>
      <c r="HZ949" s="129"/>
      <c r="IA949" s="132"/>
      <c r="IB949" s="129"/>
      <c r="IC949" s="129"/>
      <c r="ID949" s="132"/>
      <c r="IE949" s="129"/>
      <c r="IF949" s="129"/>
      <c r="IG949" s="132"/>
      <c r="IH949" s="129"/>
      <c r="II949" s="129"/>
      <c r="IJ949" s="132"/>
      <c r="IK949" s="129"/>
      <c r="IL949" s="129"/>
      <c r="IM949" s="132"/>
      <c r="IN949" s="129"/>
      <c r="IO949" s="129"/>
      <c r="IP949" s="132"/>
      <c r="IQ949" s="129"/>
      <c r="IR949" s="129"/>
      <c r="IS949" s="132"/>
      <c r="IT949" s="129"/>
      <c r="IU949" s="129"/>
      <c r="IV949" s="132"/>
    </row>
    <row r="950" spans="1:256" ht="24" customHeight="1">
      <c r="A950" s="132"/>
      <c r="B950" s="118"/>
      <c r="C950" s="132"/>
      <c r="D950" s="129"/>
      <c r="E950" s="129"/>
      <c r="F950" s="130"/>
      <c r="G950" s="399"/>
      <c r="H950" s="120"/>
      <c r="I950" s="417"/>
      <c r="J950" s="120"/>
      <c r="K950" s="404"/>
      <c r="L950" s="120">
        <f t="shared" si="312"/>
        <v>0</v>
      </c>
      <c r="M950" s="120">
        <f t="shared" si="313"/>
        <v>0</v>
      </c>
      <c r="N950" s="120">
        <f t="shared" si="314"/>
        <v>0</v>
      </c>
      <c r="O950" s="404">
        <f t="shared" si="315"/>
        <v>0</v>
      </c>
      <c r="P950" s="127">
        <f t="shared" si="316"/>
        <v>0</v>
      </c>
      <c r="Q950" s="129"/>
      <c r="R950" s="129"/>
      <c r="S950" s="132"/>
      <c r="T950" s="129"/>
      <c r="U950" s="129"/>
      <c r="V950" s="132"/>
      <c r="W950" s="129"/>
      <c r="X950" s="129"/>
      <c r="Y950" s="132"/>
      <c r="Z950" s="129"/>
      <c r="AA950" s="129"/>
      <c r="AB950" s="132"/>
      <c r="AC950" s="129"/>
      <c r="AD950" s="129"/>
      <c r="AE950" s="132"/>
      <c r="AF950" s="129"/>
      <c r="AG950" s="129"/>
      <c r="AH950" s="132"/>
      <c r="AI950" s="129"/>
      <c r="AJ950" s="129"/>
      <c r="AK950" s="132"/>
      <c r="AL950" s="129"/>
      <c r="AM950" s="129"/>
      <c r="AN950" s="132"/>
      <c r="AO950" s="129"/>
      <c r="AP950" s="129"/>
      <c r="AQ950" s="132"/>
      <c r="AR950" s="129"/>
      <c r="AS950" s="129"/>
      <c r="AT950" s="132"/>
      <c r="AU950" s="129"/>
      <c r="AV950" s="129"/>
      <c r="AW950" s="132"/>
      <c r="AX950" s="129"/>
      <c r="AY950" s="129"/>
      <c r="AZ950" s="132"/>
      <c r="BA950" s="129"/>
      <c r="BB950" s="129"/>
      <c r="BC950" s="132"/>
      <c r="BD950" s="129"/>
      <c r="BE950" s="129"/>
      <c r="BF950" s="132"/>
      <c r="BG950" s="129"/>
      <c r="BH950" s="129"/>
      <c r="BI950" s="132"/>
      <c r="BJ950" s="129"/>
      <c r="BK950" s="129"/>
      <c r="BL950" s="132"/>
      <c r="BM950" s="129"/>
      <c r="BN950" s="129"/>
      <c r="BO950" s="132"/>
      <c r="BP950" s="129"/>
      <c r="BQ950" s="129"/>
      <c r="BR950" s="132"/>
      <c r="BS950" s="129"/>
      <c r="BT950" s="129"/>
      <c r="BU950" s="132"/>
      <c r="BV950" s="129"/>
      <c r="BW950" s="129"/>
      <c r="BX950" s="132"/>
      <c r="BY950" s="129"/>
      <c r="BZ950" s="129"/>
      <c r="CA950" s="132"/>
      <c r="CB950" s="129"/>
      <c r="CC950" s="129"/>
      <c r="CD950" s="132"/>
      <c r="CE950" s="129"/>
      <c r="CF950" s="129"/>
      <c r="CG950" s="132"/>
      <c r="CH950" s="129"/>
      <c r="CI950" s="129"/>
      <c r="CJ950" s="132"/>
      <c r="CK950" s="129"/>
      <c r="CL950" s="129"/>
      <c r="CM950" s="132"/>
      <c r="CN950" s="129"/>
      <c r="CO950" s="129"/>
      <c r="CP950" s="132"/>
      <c r="CQ950" s="129"/>
      <c r="CR950" s="129"/>
      <c r="CS950" s="132"/>
      <c r="CT950" s="129"/>
      <c r="CU950" s="129"/>
      <c r="CV950" s="132"/>
      <c r="CW950" s="129"/>
      <c r="CX950" s="129"/>
      <c r="CY950" s="132"/>
      <c r="CZ950" s="129"/>
      <c r="DA950" s="129"/>
      <c r="DB950" s="132"/>
      <c r="DC950" s="129"/>
      <c r="DD950" s="129"/>
      <c r="DE950" s="132"/>
      <c r="DF950" s="129"/>
      <c r="DG950" s="129"/>
      <c r="DH950" s="132"/>
      <c r="DI950" s="129"/>
      <c r="DJ950" s="129"/>
      <c r="DK950" s="132"/>
      <c r="DL950" s="129"/>
      <c r="DM950" s="129"/>
      <c r="DN950" s="132"/>
      <c r="DO950" s="129"/>
      <c r="DP950" s="129"/>
      <c r="DQ950" s="132"/>
      <c r="DR950" s="129"/>
      <c r="DS950" s="129"/>
      <c r="DT950" s="132"/>
      <c r="DU950" s="129"/>
      <c r="DV950" s="129"/>
      <c r="DW950" s="132"/>
      <c r="DX950" s="129"/>
      <c r="DY950" s="129"/>
      <c r="DZ950" s="132"/>
      <c r="EA950" s="129"/>
      <c r="EB950" s="129"/>
      <c r="EC950" s="132"/>
      <c r="ED950" s="129"/>
      <c r="EE950" s="129"/>
      <c r="EF950" s="132"/>
      <c r="EG950" s="129"/>
      <c r="EH950" s="129"/>
      <c r="EI950" s="132"/>
      <c r="EJ950" s="129"/>
      <c r="EK950" s="129"/>
      <c r="EL950" s="132"/>
      <c r="EM950" s="129"/>
      <c r="EN950" s="129"/>
      <c r="EO950" s="132"/>
      <c r="EP950" s="129"/>
      <c r="EQ950" s="129"/>
      <c r="ER950" s="132"/>
      <c r="ES950" s="129"/>
      <c r="ET950" s="129"/>
      <c r="EU950" s="132"/>
      <c r="EV950" s="129"/>
      <c r="EW950" s="129"/>
      <c r="EX950" s="132"/>
      <c r="EY950" s="129"/>
      <c r="EZ950" s="129"/>
      <c r="FA950" s="132"/>
      <c r="FB950" s="129"/>
      <c r="FC950" s="129"/>
      <c r="FD950" s="132"/>
      <c r="FE950" s="129"/>
      <c r="FF950" s="129"/>
      <c r="FG950" s="132"/>
      <c r="FH950" s="129"/>
      <c r="FI950" s="129"/>
      <c r="FJ950" s="132"/>
      <c r="FK950" s="129"/>
      <c r="FL950" s="129"/>
      <c r="FM950" s="132"/>
      <c r="FN950" s="129"/>
      <c r="FO950" s="129"/>
      <c r="FP950" s="132"/>
      <c r="FQ950" s="129"/>
      <c r="FR950" s="129"/>
      <c r="FS950" s="132"/>
      <c r="FT950" s="129"/>
      <c r="FU950" s="129"/>
      <c r="FV950" s="132"/>
      <c r="FW950" s="129"/>
      <c r="FX950" s="129"/>
      <c r="FY950" s="132"/>
      <c r="FZ950" s="129"/>
      <c r="GA950" s="129"/>
      <c r="GB950" s="132"/>
      <c r="GC950" s="129"/>
      <c r="GD950" s="129"/>
      <c r="GE950" s="132"/>
      <c r="GF950" s="129"/>
      <c r="GG950" s="129"/>
      <c r="GH950" s="132"/>
      <c r="GI950" s="129"/>
      <c r="GJ950" s="129"/>
      <c r="GK950" s="132"/>
      <c r="GL950" s="129"/>
      <c r="GM950" s="129"/>
      <c r="GN950" s="132"/>
      <c r="GO950" s="129"/>
      <c r="GP950" s="129"/>
      <c r="GQ950" s="132"/>
      <c r="GR950" s="129"/>
      <c r="GS950" s="129"/>
      <c r="GT950" s="132"/>
      <c r="GU950" s="129"/>
      <c r="GV950" s="129"/>
      <c r="GW950" s="132"/>
      <c r="GX950" s="129"/>
      <c r="GY950" s="129"/>
      <c r="GZ950" s="132"/>
      <c r="HA950" s="129"/>
      <c r="HB950" s="129"/>
      <c r="HC950" s="132"/>
      <c r="HD950" s="129"/>
      <c r="HE950" s="129"/>
      <c r="HF950" s="132"/>
      <c r="HG950" s="129"/>
      <c r="HH950" s="129"/>
      <c r="HI950" s="132"/>
      <c r="HJ950" s="129"/>
      <c r="HK950" s="129"/>
      <c r="HL950" s="132"/>
      <c r="HM950" s="129"/>
      <c r="HN950" s="129"/>
      <c r="HO950" s="132"/>
      <c r="HP950" s="129"/>
      <c r="HQ950" s="129"/>
      <c r="HR950" s="132"/>
      <c r="HS950" s="129"/>
      <c r="HT950" s="129"/>
      <c r="HU950" s="132"/>
      <c r="HV950" s="129"/>
      <c r="HW950" s="129"/>
      <c r="HX950" s="132"/>
      <c r="HY950" s="129"/>
      <c r="HZ950" s="129"/>
      <c r="IA950" s="132"/>
      <c r="IB950" s="129"/>
      <c r="IC950" s="129"/>
      <c r="ID950" s="132"/>
      <c r="IE950" s="129"/>
      <c r="IF950" s="129"/>
      <c r="IG950" s="132"/>
      <c r="IH950" s="129"/>
      <c r="II950" s="129"/>
      <c r="IJ950" s="132"/>
      <c r="IK950" s="129"/>
      <c r="IL950" s="129"/>
      <c r="IM950" s="132"/>
      <c r="IN950" s="129"/>
      <c r="IO950" s="129"/>
      <c r="IP950" s="132"/>
      <c r="IQ950" s="129"/>
      <c r="IR950" s="129"/>
      <c r="IS950" s="132"/>
      <c r="IT950" s="129"/>
      <c r="IU950" s="129"/>
      <c r="IV950" s="132"/>
    </row>
    <row r="951" spans="1:256" ht="24" customHeight="1">
      <c r="A951" s="156"/>
      <c r="B951" s="147"/>
      <c r="C951" s="132" t="s">
        <v>773</v>
      </c>
      <c r="D951" s="129" t="s">
        <v>794</v>
      </c>
      <c r="E951" s="129"/>
      <c r="F951" s="130"/>
      <c r="G951" s="399"/>
      <c r="H951" s="120"/>
      <c r="I951" s="417"/>
      <c r="J951" s="120"/>
      <c r="K951" s="404"/>
      <c r="L951" s="120">
        <f t="shared" si="312"/>
        <v>0</v>
      </c>
      <c r="M951" s="120">
        <f t="shared" si="313"/>
        <v>0</v>
      </c>
      <c r="N951" s="120">
        <f t="shared" si="314"/>
        <v>0</v>
      </c>
      <c r="O951" s="404">
        <f t="shared" si="315"/>
        <v>0</v>
      </c>
      <c r="P951" s="127">
        <f t="shared" si="316"/>
        <v>0</v>
      </c>
      <c r="Q951" s="159"/>
      <c r="R951" s="159"/>
      <c r="S951" s="156"/>
      <c r="T951" s="159"/>
      <c r="U951" s="159"/>
      <c r="V951" s="156"/>
      <c r="W951" s="159"/>
      <c r="X951" s="159"/>
      <c r="Y951" s="156"/>
      <c r="Z951" s="159"/>
      <c r="AA951" s="159"/>
      <c r="AB951" s="156"/>
      <c r="AC951" s="159"/>
      <c r="AD951" s="159"/>
      <c r="AE951" s="156"/>
      <c r="AF951" s="159"/>
      <c r="AG951" s="159"/>
      <c r="AH951" s="156"/>
      <c r="AI951" s="159"/>
      <c r="AJ951" s="159"/>
      <c r="AK951" s="156"/>
      <c r="AL951" s="159"/>
      <c r="AM951" s="159"/>
      <c r="AN951" s="156"/>
      <c r="AO951" s="159"/>
      <c r="AP951" s="159"/>
      <c r="AQ951" s="156"/>
      <c r="AR951" s="159"/>
      <c r="AS951" s="159"/>
      <c r="AT951" s="156"/>
      <c r="AU951" s="159"/>
      <c r="AV951" s="159"/>
      <c r="AW951" s="156"/>
      <c r="AX951" s="159"/>
      <c r="AY951" s="159"/>
      <c r="AZ951" s="156"/>
      <c r="BA951" s="159"/>
      <c r="BB951" s="159"/>
      <c r="BC951" s="156"/>
      <c r="BD951" s="159"/>
      <c r="BE951" s="159"/>
      <c r="BF951" s="156"/>
      <c r="BG951" s="159"/>
      <c r="BH951" s="159"/>
      <c r="BI951" s="156"/>
      <c r="BJ951" s="159"/>
      <c r="BK951" s="159"/>
      <c r="BL951" s="156"/>
      <c r="BM951" s="159"/>
      <c r="BN951" s="159"/>
      <c r="BO951" s="156"/>
      <c r="BP951" s="159"/>
      <c r="BQ951" s="159"/>
      <c r="BR951" s="156"/>
      <c r="BS951" s="159"/>
      <c r="BT951" s="159"/>
      <c r="BU951" s="156"/>
      <c r="BV951" s="159"/>
      <c r="BW951" s="159"/>
      <c r="BX951" s="156"/>
      <c r="BY951" s="159"/>
      <c r="BZ951" s="159"/>
      <c r="CA951" s="156"/>
      <c r="CB951" s="159"/>
      <c r="CC951" s="159"/>
      <c r="CD951" s="156"/>
      <c r="CE951" s="159"/>
      <c r="CF951" s="159"/>
      <c r="CG951" s="156"/>
      <c r="CH951" s="159"/>
      <c r="CI951" s="159"/>
      <c r="CJ951" s="156"/>
      <c r="CK951" s="159"/>
      <c r="CL951" s="159"/>
      <c r="CM951" s="156"/>
      <c r="CN951" s="159"/>
      <c r="CO951" s="159"/>
      <c r="CP951" s="156"/>
      <c r="CQ951" s="159"/>
      <c r="CR951" s="159"/>
      <c r="CS951" s="156"/>
      <c r="CT951" s="159"/>
      <c r="CU951" s="159"/>
      <c r="CV951" s="156"/>
      <c r="CW951" s="159"/>
      <c r="CX951" s="159"/>
      <c r="CY951" s="156"/>
      <c r="CZ951" s="159"/>
      <c r="DA951" s="159"/>
      <c r="DB951" s="156"/>
      <c r="DC951" s="159"/>
      <c r="DD951" s="159"/>
      <c r="DE951" s="156"/>
      <c r="DF951" s="159"/>
      <c r="DG951" s="159"/>
      <c r="DH951" s="156"/>
      <c r="DI951" s="159"/>
      <c r="DJ951" s="159"/>
      <c r="DK951" s="156"/>
      <c r="DL951" s="159"/>
      <c r="DM951" s="159"/>
      <c r="DN951" s="156"/>
      <c r="DO951" s="159"/>
      <c r="DP951" s="159"/>
      <c r="DQ951" s="156"/>
      <c r="DR951" s="159"/>
      <c r="DS951" s="159"/>
      <c r="DT951" s="156"/>
      <c r="DU951" s="159"/>
      <c r="DV951" s="159"/>
      <c r="DW951" s="156"/>
      <c r="DX951" s="159"/>
      <c r="DY951" s="159"/>
      <c r="DZ951" s="156"/>
      <c r="EA951" s="159"/>
      <c r="EB951" s="159"/>
      <c r="EC951" s="156"/>
      <c r="ED951" s="159"/>
      <c r="EE951" s="159"/>
      <c r="EF951" s="156"/>
      <c r="EG951" s="159"/>
      <c r="EH951" s="159"/>
      <c r="EI951" s="156"/>
      <c r="EJ951" s="159"/>
      <c r="EK951" s="159"/>
      <c r="EL951" s="156"/>
      <c r="EM951" s="159"/>
      <c r="EN951" s="159"/>
      <c r="EO951" s="156"/>
      <c r="EP951" s="159"/>
      <c r="EQ951" s="159"/>
      <c r="ER951" s="156"/>
      <c r="ES951" s="159"/>
      <c r="ET951" s="159"/>
      <c r="EU951" s="156"/>
      <c r="EV951" s="159"/>
      <c r="EW951" s="159"/>
      <c r="EX951" s="156"/>
      <c r="EY951" s="159"/>
      <c r="EZ951" s="159"/>
      <c r="FA951" s="156"/>
      <c r="FB951" s="159"/>
      <c r="FC951" s="159"/>
      <c r="FD951" s="156"/>
      <c r="FE951" s="159"/>
      <c r="FF951" s="159"/>
      <c r="FG951" s="156"/>
      <c r="FH951" s="159"/>
      <c r="FI951" s="159"/>
      <c r="FJ951" s="156"/>
      <c r="FK951" s="159"/>
      <c r="FL951" s="159"/>
      <c r="FM951" s="156"/>
      <c r="FN951" s="159"/>
      <c r="FO951" s="159"/>
      <c r="FP951" s="156"/>
      <c r="FQ951" s="159"/>
      <c r="FR951" s="159"/>
      <c r="FS951" s="156"/>
      <c r="FT951" s="159"/>
      <c r="FU951" s="159"/>
      <c r="FV951" s="156"/>
      <c r="FW951" s="159"/>
      <c r="FX951" s="159"/>
      <c r="FY951" s="156"/>
      <c r="FZ951" s="159"/>
      <c r="GA951" s="159"/>
      <c r="GB951" s="156"/>
      <c r="GC951" s="159"/>
      <c r="GD951" s="159"/>
      <c r="GE951" s="156"/>
      <c r="GF951" s="159"/>
      <c r="GG951" s="159"/>
      <c r="GH951" s="156"/>
      <c r="GI951" s="159"/>
      <c r="GJ951" s="159"/>
      <c r="GK951" s="156"/>
      <c r="GL951" s="159"/>
      <c r="GM951" s="159"/>
      <c r="GN951" s="156"/>
      <c r="GO951" s="159"/>
      <c r="GP951" s="159"/>
      <c r="GQ951" s="156"/>
      <c r="GR951" s="159"/>
      <c r="GS951" s="159"/>
      <c r="GT951" s="156"/>
      <c r="GU951" s="159"/>
      <c r="GV951" s="159"/>
      <c r="GW951" s="156"/>
      <c r="GX951" s="159"/>
      <c r="GY951" s="159"/>
      <c r="GZ951" s="156"/>
      <c r="HA951" s="159"/>
      <c r="HB951" s="159"/>
      <c r="HC951" s="156"/>
      <c r="HD951" s="159"/>
      <c r="HE951" s="159"/>
      <c r="HF951" s="156"/>
      <c r="HG951" s="159"/>
      <c r="HH951" s="159"/>
      <c r="HI951" s="156"/>
      <c r="HJ951" s="159"/>
      <c r="HK951" s="159"/>
      <c r="HL951" s="156"/>
      <c r="HM951" s="159"/>
      <c r="HN951" s="159"/>
      <c r="HO951" s="156"/>
      <c r="HP951" s="159"/>
      <c r="HQ951" s="159"/>
      <c r="HR951" s="156"/>
      <c r="HS951" s="159"/>
      <c r="HT951" s="159"/>
      <c r="HU951" s="156"/>
      <c r="HV951" s="159"/>
      <c r="HW951" s="159"/>
      <c r="HX951" s="156"/>
      <c r="HY951" s="159"/>
      <c r="HZ951" s="159"/>
      <c r="IA951" s="156"/>
      <c r="IB951" s="159"/>
      <c r="IC951" s="159"/>
      <c r="ID951" s="156"/>
      <c r="IE951" s="159"/>
      <c r="IF951" s="159"/>
      <c r="IG951" s="156"/>
      <c r="IH951" s="159"/>
      <c r="II951" s="159"/>
      <c r="IJ951" s="156"/>
      <c r="IK951" s="159"/>
      <c r="IL951" s="159"/>
      <c r="IM951" s="156"/>
      <c r="IN951" s="159"/>
      <c r="IO951" s="159"/>
      <c r="IP951" s="156"/>
      <c r="IQ951" s="159"/>
      <c r="IR951" s="159"/>
      <c r="IS951" s="156"/>
      <c r="IT951" s="159"/>
      <c r="IU951" s="159"/>
      <c r="IV951" s="156"/>
    </row>
    <row r="952" spans="1:256" ht="24" customHeight="1">
      <c r="A952" s="132"/>
      <c r="B952" s="118"/>
      <c r="C952" s="132"/>
      <c r="D952" s="129" t="s">
        <v>786</v>
      </c>
      <c r="E952" s="129"/>
      <c r="F952" s="130"/>
      <c r="G952" s="399" t="s">
        <v>592</v>
      </c>
      <c r="H952" s="120">
        <v>123.32</v>
      </c>
      <c r="I952" s="417">
        <v>95.04</v>
      </c>
      <c r="J952" s="120">
        <v>95.04</v>
      </c>
      <c r="K952" s="404"/>
      <c r="L952" s="120">
        <f t="shared" si="312"/>
        <v>95.04</v>
      </c>
      <c r="M952" s="120">
        <f t="shared" si="313"/>
        <v>11720.3328</v>
      </c>
      <c r="N952" s="120">
        <f t="shared" si="314"/>
        <v>11720.3328</v>
      </c>
      <c r="O952" s="404">
        <f t="shared" si="315"/>
        <v>0</v>
      </c>
      <c r="P952" s="127">
        <f t="shared" si="316"/>
        <v>11720.3328</v>
      </c>
      <c r="Q952" s="129"/>
      <c r="R952" s="129"/>
      <c r="S952" s="132"/>
      <c r="T952" s="129"/>
      <c r="U952" s="129"/>
      <c r="V952" s="132"/>
      <c r="W952" s="129"/>
      <c r="X952" s="129"/>
      <c r="Y952" s="132"/>
      <c r="Z952" s="129"/>
      <c r="AA952" s="129"/>
      <c r="AB952" s="132"/>
      <c r="AC952" s="129"/>
      <c r="AD952" s="129"/>
      <c r="AE952" s="132"/>
      <c r="AF952" s="129"/>
      <c r="AG952" s="129"/>
      <c r="AH952" s="132"/>
      <c r="AI952" s="129"/>
      <c r="AJ952" s="129"/>
      <c r="AK952" s="132"/>
      <c r="AL952" s="129"/>
      <c r="AM952" s="129"/>
      <c r="AN952" s="132"/>
      <c r="AO952" s="129"/>
      <c r="AP952" s="129"/>
      <c r="AQ952" s="132"/>
      <c r="AR952" s="129"/>
      <c r="AS952" s="129"/>
      <c r="AT952" s="132"/>
      <c r="AU952" s="129"/>
      <c r="AV952" s="129"/>
      <c r="AW952" s="132"/>
      <c r="AX952" s="129"/>
      <c r="AY952" s="129"/>
      <c r="AZ952" s="132"/>
      <c r="BA952" s="129"/>
      <c r="BB952" s="129"/>
      <c r="BC952" s="132"/>
      <c r="BD952" s="129"/>
      <c r="BE952" s="129"/>
      <c r="BF952" s="132"/>
      <c r="BG952" s="129"/>
      <c r="BH952" s="129"/>
      <c r="BI952" s="132"/>
      <c r="BJ952" s="129"/>
      <c r="BK952" s="129"/>
      <c r="BL952" s="132"/>
      <c r="BM952" s="129"/>
      <c r="BN952" s="129"/>
      <c r="BO952" s="132"/>
      <c r="BP952" s="129"/>
      <c r="BQ952" s="129"/>
      <c r="BR952" s="132"/>
      <c r="BS952" s="129"/>
      <c r="BT952" s="129"/>
      <c r="BU952" s="132"/>
      <c r="BV952" s="129"/>
      <c r="BW952" s="129"/>
      <c r="BX952" s="132"/>
      <c r="BY952" s="129"/>
      <c r="BZ952" s="129"/>
      <c r="CA952" s="132"/>
      <c r="CB952" s="129"/>
      <c r="CC952" s="129"/>
      <c r="CD952" s="132"/>
      <c r="CE952" s="129"/>
      <c r="CF952" s="129"/>
      <c r="CG952" s="132"/>
      <c r="CH952" s="129"/>
      <c r="CI952" s="129"/>
      <c r="CJ952" s="132"/>
      <c r="CK952" s="129"/>
      <c r="CL952" s="129"/>
      <c r="CM952" s="132"/>
      <c r="CN952" s="129"/>
      <c r="CO952" s="129"/>
      <c r="CP952" s="132"/>
      <c r="CQ952" s="129"/>
      <c r="CR952" s="129"/>
      <c r="CS952" s="132"/>
      <c r="CT952" s="129"/>
      <c r="CU952" s="129"/>
      <c r="CV952" s="132"/>
      <c r="CW952" s="129"/>
      <c r="CX952" s="129"/>
      <c r="CY952" s="132"/>
      <c r="CZ952" s="129"/>
      <c r="DA952" s="129"/>
      <c r="DB952" s="132"/>
      <c r="DC952" s="129"/>
      <c r="DD952" s="129"/>
      <c r="DE952" s="132"/>
      <c r="DF952" s="129"/>
      <c r="DG952" s="129"/>
      <c r="DH952" s="132"/>
      <c r="DI952" s="129"/>
      <c r="DJ952" s="129"/>
      <c r="DK952" s="132"/>
      <c r="DL952" s="129"/>
      <c r="DM952" s="129"/>
      <c r="DN952" s="132"/>
      <c r="DO952" s="129"/>
      <c r="DP952" s="129"/>
      <c r="DQ952" s="132"/>
      <c r="DR952" s="129"/>
      <c r="DS952" s="129"/>
      <c r="DT952" s="132"/>
      <c r="DU952" s="129"/>
      <c r="DV952" s="129"/>
      <c r="DW952" s="132"/>
      <c r="DX952" s="129"/>
      <c r="DY952" s="129"/>
      <c r="DZ952" s="132"/>
      <c r="EA952" s="129"/>
      <c r="EB952" s="129"/>
      <c r="EC952" s="132"/>
      <c r="ED952" s="129"/>
      <c r="EE952" s="129"/>
      <c r="EF952" s="132"/>
      <c r="EG952" s="129"/>
      <c r="EH952" s="129"/>
      <c r="EI952" s="132"/>
      <c r="EJ952" s="129"/>
      <c r="EK952" s="129"/>
      <c r="EL952" s="132"/>
      <c r="EM952" s="129"/>
      <c r="EN952" s="129"/>
      <c r="EO952" s="132"/>
      <c r="EP952" s="129"/>
      <c r="EQ952" s="129"/>
      <c r="ER952" s="132"/>
      <c r="ES952" s="129"/>
      <c r="ET952" s="129"/>
      <c r="EU952" s="132"/>
      <c r="EV952" s="129"/>
      <c r="EW952" s="129"/>
      <c r="EX952" s="132"/>
      <c r="EY952" s="129"/>
      <c r="EZ952" s="129"/>
      <c r="FA952" s="132"/>
      <c r="FB952" s="129"/>
      <c r="FC952" s="129"/>
      <c r="FD952" s="132"/>
      <c r="FE952" s="129"/>
      <c r="FF952" s="129"/>
      <c r="FG952" s="132"/>
      <c r="FH952" s="129"/>
      <c r="FI952" s="129"/>
      <c r="FJ952" s="132"/>
      <c r="FK952" s="129"/>
      <c r="FL952" s="129"/>
      <c r="FM952" s="132"/>
      <c r="FN952" s="129"/>
      <c r="FO952" s="129"/>
      <c r="FP952" s="132"/>
      <c r="FQ952" s="129"/>
      <c r="FR952" s="129"/>
      <c r="FS952" s="132"/>
      <c r="FT952" s="129"/>
      <c r="FU952" s="129"/>
      <c r="FV952" s="132"/>
      <c r="FW952" s="129"/>
      <c r="FX952" s="129"/>
      <c r="FY952" s="132"/>
      <c r="FZ952" s="129"/>
      <c r="GA952" s="129"/>
      <c r="GB952" s="132"/>
      <c r="GC952" s="129"/>
      <c r="GD952" s="129"/>
      <c r="GE952" s="132"/>
      <c r="GF952" s="129"/>
      <c r="GG952" s="129"/>
      <c r="GH952" s="132"/>
      <c r="GI952" s="129"/>
      <c r="GJ952" s="129"/>
      <c r="GK952" s="132"/>
      <c r="GL952" s="129"/>
      <c r="GM952" s="129"/>
      <c r="GN952" s="132"/>
      <c r="GO952" s="129"/>
      <c r="GP952" s="129"/>
      <c r="GQ952" s="132"/>
      <c r="GR952" s="129"/>
      <c r="GS952" s="129"/>
      <c r="GT952" s="132"/>
      <c r="GU952" s="129"/>
      <c r="GV952" s="129"/>
      <c r="GW952" s="132"/>
      <c r="GX952" s="129"/>
      <c r="GY952" s="129"/>
      <c r="GZ952" s="132"/>
      <c r="HA952" s="129"/>
      <c r="HB952" s="129"/>
      <c r="HC952" s="132"/>
      <c r="HD952" s="129"/>
      <c r="HE952" s="129"/>
      <c r="HF952" s="132"/>
      <c r="HG952" s="129"/>
      <c r="HH952" s="129"/>
      <c r="HI952" s="132"/>
      <c r="HJ952" s="129"/>
      <c r="HK952" s="129"/>
      <c r="HL952" s="132"/>
      <c r="HM952" s="129"/>
      <c r="HN952" s="129"/>
      <c r="HO952" s="132"/>
      <c r="HP952" s="129"/>
      <c r="HQ952" s="129"/>
      <c r="HR952" s="132"/>
      <c r="HS952" s="129"/>
      <c r="HT952" s="129"/>
      <c r="HU952" s="132"/>
      <c r="HV952" s="129"/>
      <c r="HW952" s="129"/>
      <c r="HX952" s="132"/>
      <c r="HY952" s="129"/>
      <c r="HZ952" s="129"/>
      <c r="IA952" s="132"/>
      <c r="IB952" s="129"/>
      <c r="IC952" s="129"/>
      <c r="ID952" s="132"/>
      <c r="IE952" s="129"/>
      <c r="IF952" s="129"/>
      <c r="IG952" s="132"/>
      <c r="IH952" s="129"/>
      <c r="II952" s="129"/>
      <c r="IJ952" s="132"/>
      <c r="IK952" s="129"/>
      <c r="IL952" s="129"/>
      <c r="IM952" s="132"/>
      <c r="IN952" s="129"/>
      <c r="IO952" s="129"/>
      <c r="IP952" s="132"/>
      <c r="IQ952" s="129"/>
      <c r="IR952" s="129"/>
      <c r="IS952" s="132"/>
      <c r="IT952" s="129"/>
      <c r="IU952" s="129"/>
      <c r="IV952" s="132"/>
    </row>
    <row r="953" spans="1:256" ht="24" customHeight="1">
      <c r="A953" s="132"/>
      <c r="B953" s="118"/>
      <c r="C953" s="132"/>
      <c r="D953" s="129"/>
      <c r="E953" s="129"/>
      <c r="F953" s="130"/>
      <c r="G953" s="399"/>
      <c r="H953" s="120"/>
      <c r="I953" s="417"/>
      <c r="J953" s="120"/>
      <c r="K953" s="404"/>
      <c r="L953" s="120">
        <f t="shared" si="312"/>
        <v>0</v>
      </c>
      <c r="M953" s="120">
        <f t="shared" si="313"/>
        <v>0</v>
      </c>
      <c r="N953" s="120">
        <f t="shared" si="314"/>
        <v>0</v>
      </c>
      <c r="O953" s="404">
        <f t="shared" si="315"/>
        <v>0</v>
      </c>
      <c r="P953" s="127">
        <f t="shared" si="316"/>
        <v>0</v>
      </c>
      <c r="Q953" s="129"/>
      <c r="R953" s="129"/>
      <c r="S953" s="132"/>
      <c r="T953" s="129"/>
      <c r="U953" s="129"/>
      <c r="V953" s="132"/>
      <c r="W953" s="129"/>
      <c r="X953" s="129"/>
      <c r="Y953" s="132"/>
      <c r="Z953" s="129"/>
      <c r="AA953" s="129"/>
      <c r="AB953" s="132"/>
      <c r="AC953" s="129"/>
      <c r="AD953" s="129"/>
      <c r="AE953" s="132"/>
      <c r="AF953" s="129"/>
      <c r="AG953" s="129"/>
      <c r="AH953" s="132"/>
      <c r="AI953" s="129"/>
      <c r="AJ953" s="129"/>
      <c r="AK953" s="132"/>
      <c r="AL953" s="129"/>
      <c r="AM953" s="129"/>
      <c r="AN953" s="132"/>
      <c r="AO953" s="129"/>
      <c r="AP953" s="129"/>
      <c r="AQ953" s="132"/>
      <c r="AR953" s="129"/>
      <c r="AS953" s="129"/>
      <c r="AT953" s="132"/>
      <c r="AU953" s="129"/>
      <c r="AV953" s="129"/>
      <c r="AW953" s="132"/>
      <c r="AX953" s="129"/>
      <c r="AY953" s="129"/>
      <c r="AZ953" s="132"/>
      <c r="BA953" s="129"/>
      <c r="BB953" s="129"/>
      <c r="BC953" s="132"/>
      <c r="BD953" s="129"/>
      <c r="BE953" s="129"/>
      <c r="BF953" s="132"/>
      <c r="BG953" s="129"/>
      <c r="BH953" s="129"/>
      <c r="BI953" s="132"/>
      <c r="BJ953" s="129"/>
      <c r="BK953" s="129"/>
      <c r="BL953" s="132"/>
      <c r="BM953" s="129"/>
      <c r="BN953" s="129"/>
      <c r="BO953" s="132"/>
      <c r="BP953" s="129"/>
      <c r="BQ953" s="129"/>
      <c r="BR953" s="132"/>
      <c r="BS953" s="129"/>
      <c r="BT953" s="129"/>
      <c r="BU953" s="132"/>
      <c r="BV953" s="129"/>
      <c r="BW953" s="129"/>
      <c r="BX953" s="132"/>
      <c r="BY953" s="129"/>
      <c r="BZ953" s="129"/>
      <c r="CA953" s="132"/>
      <c r="CB953" s="129"/>
      <c r="CC953" s="129"/>
      <c r="CD953" s="132"/>
      <c r="CE953" s="129"/>
      <c r="CF953" s="129"/>
      <c r="CG953" s="132"/>
      <c r="CH953" s="129"/>
      <c r="CI953" s="129"/>
      <c r="CJ953" s="132"/>
      <c r="CK953" s="129"/>
      <c r="CL953" s="129"/>
      <c r="CM953" s="132"/>
      <c r="CN953" s="129"/>
      <c r="CO953" s="129"/>
      <c r="CP953" s="132"/>
      <c r="CQ953" s="129"/>
      <c r="CR953" s="129"/>
      <c r="CS953" s="132"/>
      <c r="CT953" s="129"/>
      <c r="CU953" s="129"/>
      <c r="CV953" s="132"/>
      <c r="CW953" s="129"/>
      <c r="CX953" s="129"/>
      <c r="CY953" s="132"/>
      <c r="CZ953" s="129"/>
      <c r="DA953" s="129"/>
      <c r="DB953" s="132"/>
      <c r="DC953" s="129"/>
      <c r="DD953" s="129"/>
      <c r="DE953" s="132"/>
      <c r="DF953" s="129"/>
      <c r="DG953" s="129"/>
      <c r="DH953" s="132"/>
      <c r="DI953" s="129"/>
      <c r="DJ953" s="129"/>
      <c r="DK953" s="132"/>
      <c r="DL953" s="129"/>
      <c r="DM953" s="129"/>
      <c r="DN953" s="132"/>
      <c r="DO953" s="129"/>
      <c r="DP953" s="129"/>
      <c r="DQ953" s="132"/>
      <c r="DR953" s="129"/>
      <c r="DS953" s="129"/>
      <c r="DT953" s="132"/>
      <c r="DU953" s="129"/>
      <c r="DV953" s="129"/>
      <c r="DW953" s="132"/>
      <c r="DX953" s="129"/>
      <c r="DY953" s="129"/>
      <c r="DZ953" s="132"/>
      <c r="EA953" s="129"/>
      <c r="EB953" s="129"/>
      <c r="EC953" s="132"/>
      <c r="ED953" s="129"/>
      <c r="EE953" s="129"/>
      <c r="EF953" s="132"/>
      <c r="EG953" s="129"/>
      <c r="EH953" s="129"/>
      <c r="EI953" s="132"/>
      <c r="EJ953" s="129"/>
      <c r="EK953" s="129"/>
      <c r="EL953" s="132"/>
      <c r="EM953" s="129"/>
      <c r="EN953" s="129"/>
      <c r="EO953" s="132"/>
      <c r="EP953" s="129"/>
      <c r="EQ953" s="129"/>
      <c r="ER953" s="132"/>
      <c r="ES953" s="129"/>
      <c r="ET953" s="129"/>
      <c r="EU953" s="132"/>
      <c r="EV953" s="129"/>
      <c r="EW953" s="129"/>
      <c r="EX953" s="132"/>
      <c r="EY953" s="129"/>
      <c r="EZ953" s="129"/>
      <c r="FA953" s="132"/>
      <c r="FB953" s="129"/>
      <c r="FC953" s="129"/>
      <c r="FD953" s="132"/>
      <c r="FE953" s="129"/>
      <c r="FF953" s="129"/>
      <c r="FG953" s="132"/>
      <c r="FH953" s="129"/>
      <c r="FI953" s="129"/>
      <c r="FJ953" s="132"/>
      <c r="FK953" s="129"/>
      <c r="FL953" s="129"/>
      <c r="FM953" s="132"/>
      <c r="FN953" s="129"/>
      <c r="FO953" s="129"/>
      <c r="FP953" s="132"/>
      <c r="FQ953" s="129"/>
      <c r="FR953" s="129"/>
      <c r="FS953" s="132"/>
      <c r="FT953" s="129"/>
      <c r="FU953" s="129"/>
      <c r="FV953" s="132"/>
      <c r="FW953" s="129"/>
      <c r="FX953" s="129"/>
      <c r="FY953" s="132"/>
      <c r="FZ953" s="129"/>
      <c r="GA953" s="129"/>
      <c r="GB953" s="132"/>
      <c r="GC953" s="129"/>
      <c r="GD953" s="129"/>
      <c r="GE953" s="132"/>
      <c r="GF953" s="129"/>
      <c r="GG953" s="129"/>
      <c r="GH953" s="132"/>
      <c r="GI953" s="129"/>
      <c r="GJ953" s="129"/>
      <c r="GK953" s="132"/>
      <c r="GL953" s="129"/>
      <c r="GM953" s="129"/>
      <c r="GN953" s="132"/>
      <c r="GO953" s="129"/>
      <c r="GP953" s="129"/>
      <c r="GQ953" s="132"/>
      <c r="GR953" s="129"/>
      <c r="GS953" s="129"/>
      <c r="GT953" s="132"/>
      <c r="GU953" s="129"/>
      <c r="GV953" s="129"/>
      <c r="GW953" s="132"/>
      <c r="GX953" s="129"/>
      <c r="GY953" s="129"/>
      <c r="GZ953" s="132"/>
      <c r="HA953" s="129"/>
      <c r="HB953" s="129"/>
      <c r="HC953" s="132"/>
      <c r="HD953" s="129"/>
      <c r="HE953" s="129"/>
      <c r="HF953" s="132"/>
      <c r="HG953" s="129"/>
      <c r="HH953" s="129"/>
      <c r="HI953" s="132"/>
      <c r="HJ953" s="129"/>
      <c r="HK953" s="129"/>
      <c r="HL953" s="132"/>
      <c r="HM953" s="129"/>
      <c r="HN953" s="129"/>
      <c r="HO953" s="132"/>
      <c r="HP953" s="129"/>
      <c r="HQ953" s="129"/>
      <c r="HR953" s="132"/>
      <c r="HS953" s="129"/>
      <c r="HT953" s="129"/>
      <c r="HU953" s="132"/>
      <c r="HV953" s="129"/>
      <c r="HW953" s="129"/>
      <c r="HX953" s="132"/>
      <c r="HY953" s="129"/>
      <c r="HZ953" s="129"/>
      <c r="IA953" s="132"/>
      <c r="IB953" s="129"/>
      <c r="IC953" s="129"/>
      <c r="ID953" s="132"/>
      <c r="IE953" s="129"/>
      <c r="IF953" s="129"/>
      <c r="IG953" s="132"/>
      <c r="IH953" s="129"/>
      <c r="II953" s="129"/>
      <c r="IJ953" s="132"/>
      <c r="IK953" s="129"/>
      <c r="IL953" s="129"/>
      <c r="IM953" s="132"/>
      <c r="IN953" s="129"/>
      <c r="IO953" s="129"/>
      <c r="IP953" s="132"/>
      <c r="IQ953" s="129"/>
      <c r="IR953" s="129"/>
      <c r="IS953" s="132"/>
      <c r="IT953" s="129"/>
      <c r="IU953" s="129"/>
      <c r="IV953" s="132"/>
    </row>
    <row r="954" spans="1:256" ht="24" customHeight="1">
      <c r="A954" s="156"/>
      <c r="B954" s="118"/>
      <c r="C954" s="132" t="s">
        <v>775</v>
      </c>
      <c r="D954" s="129" t="s">
        <v>787</v>
      </c>
      <c r="E954" s="129"/>
      <c r="F954" s="130"/>
      <c r="G954" s="399" t="s">
        <v>592</v>
      </c>
      <c r="H954" s="120">
        <v>123.32</v>
      </c>
      <c r="I954" s="417">
        <v>128.28</v>
      </c>
      <c r="J954" s="120">
        <v>128.28</v>
      </c>
      <c r="K954" s="404"/>
      <c r="L954" s="120">
        <f t="shared" si="312"/>
        <v>128.28</v>
      </c>
      <c r="M954" s="120">
        <f t="shared" si="313"/>
        <v>15819.489599999999</v>
      </c>
      <c r="N954" s="120">
        <f t="shared" si="314"/>
        <v>15819.489599999999</v>
      </c>
      <c r="O954" s="404">
        <f t="shared" si="315"/>
        <v>0</v>
      </c>
      <c r="P954" s="127">
        <f t="shared" si="316"/>
        <v>15819.489599999999</v>
      </c>
      <c r="Q954" s="159"/>
      <c r="R954" s="159"/>
      <c r="S954" s="156"/>
      <c r="T954" s="159"/>
      <c r="U954" s="159"/>
      <c r="V954" s="156"/>
      <c r="W954" s="159"/>
      <c r="X954" s="159"/>
      <c r="Y954" s="156"/>
      <c r="Z954" s="159"/>
      <c r="AA954" s="159"/>
      <c r="AB954" s="156"/>
      <c r="AC954" s="159"/>
      <c r="AD954" s="159"/>
      <c r="AE954" s="156"/>
      <c r="AF954" s="159"/>
      <c r="AG954" s="159"/>
      <c r="AH954" s="156"/>
      <c r="AI954" s="159"/>
      <c r="AJ954" s="159"/>
      <c r="AK954" s="156"/>
      <c r="AL954" s="159"/>
      <c r="AM954" s="159"/>
      <c r="AN954" s="156"/>
      <c r="AO954" s="159"/>
      <c r="AP954" s="159"/>
      <c r="AQ954" s="156"/>
      <c r="AR954" s="159"/>
      <c r="AS954" s="159"/>
      <c r="AT954" s="156"/>
      <c r="AU954" s="159"/>
      <c r="AV954" s="159"/>
      <c r="AW954" s="156"/>
      <c r="AX954" s="159"/>
      <c r="AY954" s="159"/>
      <c r="AZ954" s="156"/>
      <c r="BA954" s="159"/>
      <c r="BB954" s="159"/>
      <c r="BC954" s="156"/>
      <c r="BD954" s="159"/>
      <c r="BE954" s="159"/>
      <c r="BF954" s="156"/>
      <c r="BG954" s="159"/>
      <c r="BH954" s="159"/>
      <c r="BI954" s="156"/>
      <c r="BJ954" s="159"/>
      <c r="BK954" s="159"/>
      <c r="BL954" s="156"/>
      <c r="BM954" s="159"/>
      <c r="BN954" s="159"/>
      <c r="BO954" s="156"/>
      <c r="BP954" s="159"/>
      <c r="BQ954" s="159"/>
      <c r="BR954" s="156"/>
      <c r="BS954" s="159"/>
      <c r="BT954" s="159"/>
      <c r="BU954" s="156"/>
      <c r="BV954" s="159"/>
      <c r="BW954" s="159"/>
      <c r="BX954" s="156"/>
      <c r="BY954" s="159"/>
      <c r="BZ954" s="159"/>
      <c r="CA954" s="156"/>
      <c r="CB954" s="159"/>
      <c r="CC954" s="159"/>
      <c r="CD954" s="156"/>
      <c r="CE954" s="159"/>
      <c r="CF954" s="159"/>
      <c r="CG954" s="156"/>
      <c r="CH954" s="159"/>
      <c r="CI954" s="159"/>
      <c r="CJ954" s="156"/>
      <c r="CK954" s="159"/>
      <c r="CL954" s="159"/>
      <c r="CM954" s="156"/>
      <c r="CN954" s="159"/>
      <c r="CO954" s="159"/>
      <c r="CP954" s="156"/>
      <c r="CQ954" s="159"/>
      <c r="CR954" s="159"/>
      <c r="CS954" s="156"/>
      <c r="CT954" s="159"/>
      <c r="CU954" s="159"/>
      <c r="CV954" s="156"/>
      <c r="CW954" s="159"/>
      <c r="CX954" s="159"/>
      <c r="CY954" s="156"/>
      <c r="CZ954" s="159"/>
      <c r="DA954" s="159"/>
      <c r="DB954" s="156"/>
      <c r="DC954" s="159"/>
      <c r="DD954" s="159"/>
      <c r="DE954" s="156"/>
      <c r="DF954" s="159"/>
      <c r="DG954" s="159"/>
      <c r="DH954" s="156"/>
      <c r="DI954" s="159"/>
      <c r="DJ954" s="159"/>
      <c r="DK954" s="156"/>
      <c r="DL954" s="159"/>
      <c r="DM954" s="159"/>
      <c r="DN954" s="156"/>
      <c r="DO954" s="159"/>
      <c r="DP954" s="159"/>
      <c r="DQ954" s="156"/>
      <c r="DR954" s="159"/>
      <c r="DS954" s="159"/>
      <c r="DT954" s="156"/>
      <c r="DU954" s="159"/>
      <c r="DV954" s="159"/>
      <c r="DW954" s="156"/>
      <c r="DX954" s="159"/>
      <c r="DY954" s="159"/>
      <c r="DZ954" s="156"/>
      <c r="EA954" s="159"/>
      <c r="EB954" s="159"/>
      <c r="EC954" s="156"/>
      <c r="ED954" s="159"/>
      <c r="EE954" s="159"/>
      <c r="EF954" s="156"/>
      <c r="EG954" s="159"/>
      <c r="EH954" s="159"/>
      <c r="EI954" s="156"/>
      <c r="EJ954" s="159"/>
      <c r="EK954" s="159"/>
      <c r="EL954" s="156"/>
      <c r="EM954" s="159"/>
      <c r="EN954" s="159"/>
      <c r="EO954" s="156"/>
      <c r="EP954" s="159"/>
      <c r="EQ954" s="159"/>
      <c r="ER954" s="156"/>
      <c r="ES954" s="159"/>
      <c r="ET954" s="159"/>
      <c r="EU954" s="156"/>
      <c r="EV954" s="159"/>
      <c r="EW954" s="159"/>
      <c r="EX954" s="156"/>
      <c r="EY954" s="159"/>
      <c r="EZ954" s="159"/>
      <c r="FA954" s="156"/>
      <c r="FB954" s="159"/>
      <c r="FC954" s="159"/>
      <c r="FD954" s="156"/>
      <c r="FE954" s="159"/>
      <c r="FF954" s="159"/>
      <c r="FG954" s="156"/>
      <c r="FH954" s="159"/>
      <c r="FI954" s="159"/>
      <c r="FJ954" s="156"/>
      <c r="FK954" s="159"/>
      <c r="FL954" s="159"/>
      <c r="FM954" s="156"/>
      <c r="FN954" s="159"/>
      <c r="FO954" s="159"/>
      <c r="FP954" s="156"/>
      <c r="FQ954" s="159"/>
      <c r="FR954" s="159"/>
      <c r="FS954" s="156"/>
      <c r="FT954" s="159"/>
      <c r="FU954" s="159"/>
      <c r="FV954" s="156"/>
      <c r="FW954" s="159"/>
      <c r="FX954" s="159"/>
      <c r="FY954" s="156"/>
      <c r="FZ954" s="159"/>
      <c r="GA954" s="159"/>
      <c r="GB954" s="156"/>
      <c r="GC954" s="159"/>
      <c r="GD954" s="159"/>
      <c r="GE954" s="156"/>
      <c r="GF954" s="159"/>
      <c r="GG954" s="159"/>
      <c r="GH954" s="156"/>
      <c r="GI954" s="159"/>
      <c r="GJ954" s="159"/>
      <c r="GK954" s="156"/>
      <c r="GL954" s="159"/>
      <c r="GM954" s="159"/>
      <c r="GN954" s="156"/>
      <c r="GO954" s="159"/>
      <c r="GP954" s="159"/>
      <c r="GQ954" s="156"/>
      <c r="GR954" s="159"/>
      <c r="GS954" s="159"/>
      <c r="GT954" s="156"/>
      <c r="GU954" s="159"/>
      <c r="GV954" s="159"/>
      <c r="GW954" s="156"/>
      <c r="GX954" s="159"/>
      <c r="GY954" s="159"/>
      <c r="GZ954" s="156"/>
      <c r="HA954" s="159"/>
      <c r="HB954" s="159"/>
      <c r="HC954" s="156"/>
      <c r="HD954" s="159"/>
      <c r="HE954" s="159"/>
      <c r="HF954" s="156"/>
      <c r="HG954" s="159"/>
      <c r="HH954" s="159"/>
      <c r="HI954" s="156"/>
      <c r="HJ954" s="159"/>
      <c r="HK954" s="159"/>
      <c r="HL954" s="156"/>
      <c r="HM954" s="159"/>
      <c r="HN954" s="159"/>
      <c r="HO954" s="156"/>
      <c r="HP954" s="159"/>
      <c r="HQ954" s="159"/>
      <c r="HR954" s="156"/>
      <c r="HS954" s="159"/>
      <c r="HT954" s="159"/>
      <c r="HU954" s="156"/>
      <c r="HV954" s="159"/>
      <c r="HW954" s="159"/>
      <c r="HX954" s="156"/>
      <c r="HY954" s="159"/>
      <c r="HZ954" s="159"/>
      <c r="IA954" s="156"/>
      <c r="IB954" s="159"/>
      <c r="IC954" s="159"/>
      <c r="ID954" s="156"/>
      <c r="IE954" s="159"/>
      <c r="IF954" s="159"/>
      <c r="IG954" s="156"/>
      <c r="IH954" s="159"/>
      <c r="II954" s="159"/>
      <c r="IJ954" s="156"/>
      <c r="IK954" s="159"/>
      <c r="IL954" s="159"/>
      <c r="IM954" s="156"/>
      <c r="IN954" s="159"/>
      <c r="IO954" s="159"/>
      <c r="IP954" s="156"/>
      <c r="IQ954" s="159"/>
      <c r="IR954" s="159"/>
      <c r="IS954" s="156"/>
      <c r="IT954" s="159"/>
      <c r="IU954" s="159"/>
      <c r="IV954" s="156"/>
    </row>
    <row r="955" spans="1:256" ht="24" customHeight="1">
      <c r="A955" s="132"/>
      <c r="B955" s="118"/>
      <c r="C955" s="132"/>
      <c r="D955" s="129"/>
      <c r="E955" s="129"/>
      <c r="F955" s="130"/>
      <c r="G955" s="399"/>
      <c r="H955" s="120"/>
      <c r="I955" s="417"/>
      <c r="J955" s="120"/>
      <c r="K955" s="404"/>
      <c r="L955" s="120">
        <f t="shared" si="312"/>
        <v>0</v>
      </c>
      <c r="M955" s="120">
        <f t="shared" si="313"/>
        <v>0</v>
      </c>
      <c r="N955" s="120">
        <f t="shared" si="314"/>
        <v>0</v>
      </c>
      <c r="O955" s="404">
        <f t="shared" si="315"/>
        <v>0</v>
      </c>
      <c r="P955" s="127">
        <f t="shared" si="316"/>
        <v>0</v>
      </c>
      <c r="Q955" s="129"/>
      <c r="R955" s="129"/>
      <c r="S955" s="132"/>
      <c r="T955" s="129"/>
      <c r="U955" s="129"/>
      <c r="V955" s="132"/>
      <c r="W955" s="129"/>
      <c r="X955" s="129"/>
      <c r="Y955" s="132"/>
      <c r="Z955" s="129"/>
      <c r="AA955" s="129"/>
      <c r="AB955" s="132"/>
      <c r="AC955" s="129"/>
      <c r="AD955" s="129"/>
      <c r="AE955" s="132"/>
      <c r="AF955" s="129"/>
      <c r="AG955" s="129"/>
      <c r="AH955" s="132"/>
      <c r="AI955" s="129"/>
      <c r="AJ955" s="129"/>
      <c r="AK955" s="132"/>
      <c r="AL955" s="129"/>
      <c r="AM955" s="129"/>
      <c r="AN955" s="132"/>
      <c r="AO955" s="129"/>
      <c r="AP955" s="129"/>
      <c r="AQ955" s="132"/>
      <c r="AR955" s="129"/>
      <c r="AS955" s="129"/>
      <c r="AT955" s="132"/>
      <c r="AU955" s="129"/>
      <c r="AV955" s="129"/>
      <c r="AW955" s="132"/>
      <c r="AX955" s="129"/>
      <c r="AY955" s="129"/>
      <c r="AZ955" s="132"/>
      <c r="BA955" s="129"/>
      <c r="BB955" s="129"/>
      <c r="BC955" s="132"/>
      <c r="BD955" s="129"/>
      <c r="BE955" s="129"/>
      <c r="BF955" s="132"/>
      <c r="BG955" s="129"/>
      <c r="BH955" s="129"/>
      <c r="BI955" s="132"/>
      <c r="BJ955" s="129"/>
      <c r="BK955" s="129"/>
      <c r="BL955" s="132"/>
      <c r="BM955" s="129"/>
      <c r="BN955" s="129"/>
      <c r="BO955" s="132"/>
      <c r="BP955" s="129"/>
      <c r="BQ955" s="129"/>
      <c r="BR955" s="132"/>
      <c r="BS955" s="129"/>
      <c r="BT955" s="129"/>
      <c r="BU955" s="132"/>
      <c r="BV955" s="129"/>
      <c r="BW955" s="129"/>
      <c r="BX955" s="132"/>
      <c r="BY955" s="129"/>
      <c r="BZ955" s="129"/>
      <c r="CA955" s="132"/>
      <c r="CB955" s="129"/>
      <c r="CC955" s="129"/>
      <c r="CD955" s="132"/>
      <c r="CE955" s="129"/>
      <c r="CF955" s="129"/>
      <c r="CG955" s="132"/>
      <c r="CH955" s="129"/>
      <c r="CI955" s="129"/>
      <c r="CJ955" s="132"/>
      <c r="CK955" s="129"/>
      <c r="CL955" s="129"/>
      <c r="CM955" s="132"/>
      <c r="CN955" s="129"/>
      <c r="CO955" s="129"/>
      <c r="CP955" s="132"/>
      <c r="CQ955" s="129"/>
      <c r="CR955" s="129"/>
      <c r="CS955" s="132"/>
      <c r="CT955" s="129"/>
      <c r="CU955" s="129"/>
      <c r="CV955" s="132"/>
      <c r="CW955" s="129"/>
      <c r="CX955" s="129"/>
      <c r="CY955" s="132"/>
      <c r="CZ955" s="129"/>
      <c r="DA955" s="129"/>
      <c r="DB955" s="132"/>
      <c r="DC955" s="129"/>
      <c r="DD955" s="129"/>
      <c r="DE955" s="132"/>
      <c r="DF955" s="129"/>
      <c r="DG955" s="129"/>
      <c r="DH955" s="132"/>
      <c r="DI955" s="129"/>
      <c r="DJ955" s="129"/>
      <c r="DK955" s="132"/>
      <c r="DL955" s="129"/>
      <c r="DM955" s="129"/>
      <c r="DN955" s="132"/>
      <c r="DO955" s="129"/>
      <c r="DP955" s="129"/>
      <c r="DQ955" s="132"/>
      <c r="DR955" s="129"/>
      <c r="DS955" s="129"/>
      <c r="DT955" s="132"/>
      <c r="DU955" s="129"/>
      <c r="DV955" s="129"/>
      <c r="DW955" s="132"/>
      <c r="DX955" s="129"/>
      <c r="DY955" s="129"/>
      <c r="DZ955" s="132"/>
      <c r="EA955" s="129"/>
      <c r="EB955" s="129"/>
      <c r="EC955" s="132"/>
      <c r="ED955" s="129"/>
      <c r="EE955" s="129"/>
      <c r="EF955" s="132"/>
      <c r="EG955" s="129"/>
      <c r="EH955" s="129"/>
      <c r="EI955" s="132"/>
      <c r="EJ955" s="129"/>
      <c r="EK955" s="129"/>
      <c r="EL955" s="132"/>
      <c r="EM955" s="129"/>
      <c r="EN955" s="129"/>
      <c r="EO955" s="132"/>
      <c r="EP955" s="129"/>
      <c r="EQ955" s="129"/>
      <c r="ER955" s="132"/>
      <c r="ES955" s="129"/>
      <c r="ET955" s="129"/>
      <c r="EU955" s="132"/>
      <c r="EV955" s="129"/>
      <c r="EW955" s="129"/>
      <c r="EX955" s="132"/>
      <c r="EY955" s="129"/>
      <c r="EZ955" s="129"/>
      <c r="FA955" s="132"/>
      <c r="FB955" s="129"/>
      <c r="FC955" s="129"/>
      <c r="FD955" s="132"/>
      <c r="FE955" s="129"/>
      <c r="FF955" s="129"/>
      <c r="FG955" s="132"/>
      <c r="FH955" s="129"/>
      <c r="FI955" s="129"/>
      <c r="FJ955" s="132"/>
      <c r="FK955" s="129"/>
      <c r="FL955" s="129"/>
      <c r="FM955" s="132"/>
      <c r="FN955" s="129"/>
      <c r="FO955" s="129"/>
      <c r="FP955" s="132"/>
      <c r="FQ955" s="129"/>
      <c r="FR955" s="129"/>
      <c r="FS955" s="132"/>
      <c r="FT955" s="129"/>
      <c r="FU955" s="129"/>
      <c r="FV955" s="132"/>
      <c r="FW955" s="129"/>
      <c r="FX955" s="129"/>
      <c r="FY955" s="132"/>
      <c r="FZ955" s="129"/>
      <c r="GA955" s="129"/>
      <c r="GB955" s="132"/>
      <c r="GC955" s="129"/>
      <c r="GD955" s="129"/>
      <c r="GE955" s="132"/>
      <c r="GF955" s="129"/>
      <c r="GG955" s="129"/>
      <c r="GH955" s="132"/>
      <c r="GI955" s="129"/>
      <c r="GJ955" s="129"/>
      <c r="GK955" s="132"/>
      <c r="GL955" s="129"/>
      <c r="GM955" s="129"/>
      <c r="GN955" s="132"/>
      <c r="GO955" s="129"/>
      <c r="GP955" s="129"/>
      <c r="GQ955" s="132"/>
      <c r="GR955" s="129"/>
      <c r="GS955" s="129"/>
      <c r="GT955" s="132"/>
      <c r="GU955" s="129"/>
      <c r="GV955" s="129"/>
      <c r="GW955" s="132"/>
      <c r="GX955" s="129"/>
      <c r="GY955" s="129"/>
      <c r="GZ955" s="132"/>
      <c r="HA955" s="129"/>
      <c r="HB955" s="129"/>
      <c r="HC955" s="132"/>
      <c r="HD955" s="129"/>
      <c r="HE955" s="129"/>
      <c r="HF955" s="132"/>
      <c r="HG955" s="129"/>
      <c r="HH955" s="129"/>
      <c r="HI955" s="132"/>
      <c r="HJ955" s="129"/>
      <c r="HK955" s="129"/>
      <c r="HL955" s="132"/>
      <c r="HM955" s="129"/>
      <c r="HN955" s="129"/>
      <c r="HO955" s="132"/>
      <c r="HP955" s="129"/>
      <c r="HQ955" s="129"/>
      <c r="HR955" s="132"/>
      <c r="HS955" s="129"/>
      <c r="HT955" s="129"/>
      <c r="HU955" s="132"/>
      <c r="HV955" s="129"/>
      <c r="HW955" s="129"/>
      <c r="HX955" s="132"/>
      <c r="HY955" s="129"/>
      <c r="HZ955" s="129"/>
      <c r="IA955" s="132"/>
      <c r="IB955" s="129"/>
      <c r="IC955" s="129"/>
      <c r="ID955" s="132"/>
      <c r="IE955" s="129"/>
      <c r="IF955" s="129"/>
      <c r="IG955" s="132"/>
      <c r="IH955" s="129"/>
      <c r="II955" s="129"/>
      <c r="IJ955" s="132"/>
      <c r="IK955" s="129"/>
      <c r="IL955" s="129"/>
      <c r="IM955" s="132"/>
      <c r="IN955" s="129"/>
      <c r="IO955" s="129"/>
      <c r="IP955" s="132"/>
      <c r="IQ955" s="129"/>
      <c r="IR955" s="129"/>
      <c r="IS955" s="132"/>
      <c r="IT955" s="129"/>
      <c r="IU955" s="129"/>
      <c r="IV955" s="132"/>
    </row>
    <row r="956" spans="1:256" ht="24" customHeight="1">
      <c r="A956" s="132"/>
      <c r="B956" s="147"/>
      <c r="C956" s="132" t="s">
        <v>776</v>
      </c>
      <c r="D956" s="129" t="s">
        <v>788</v>
      </c>
      <c r="E956" s="129"/>
      <c r="F956" s="130"/>
      <c r="G956" s="399" t="s">
        <v>592</v>
      </c>
      <c r="H956" s="120">
        <v>123.32</v>
      </c>
      <c r="I956" s="417">
        <v>32.880000000000003</v>
      </c>
      <c r="J956" s="120">
        <v>32.880000000000003</v>
      </c>
      <c r="K956" s="404"/>
      <c r="L956" s="120">
        <f t="shared" si="312"/>
        <v>32.880000000000003</v>
      </c>
      <c r="M956" s="120">
        <f t="shared" si="313"/>
        <v>4054.7616000000003</v>
      </c>
      <c r="N956" s="120">
        <f t="shared" si="314"/>
        <v>4054.7616000000003</v>
      </c>
      <c r="O956" s="404">
        <f t="shared" si="315"/>
        <v>0</v>
      </c>
      <c r="P956" s="127">
        <f t="shared" si="316"/>
        <v>4054.7616000000003</v>
      </c>
      <c r="Q956" s="129"/>
      <c r="R956" s="129"/>
      <c r="S956" s="132"/>
      <c r="T956" s="129"/>
      <c r="U956" s="129"/>
      <c r="V956" s="132"/>
      <c r="W956" s="129"/>
      <c r="X956" s="129"/>
      <c r="Y956" s="132"/>
      <c r="Z956" s="129"/>
      <c r="AA956" s="129"/>
      <c r="AB956" s="132"/>
      <c r="AC956" s="129"/>
      <c r="AD956" s="129"/>
      <c r="AE956" s="132"/>
      <c r="AF956" s="129"/>
      <c r="AG956" s="129"/>
      <c r="AH956" s="132"/>
      <c r="AI956" s="129"/>
      <c r="AJ956" s="129"/>
      <c r="AK956" s="132"/>
      <c r="AL956" s="129"/>
      <c r="AM956" s="129"/>
      <c r="AN956" s="132"/>
      <c r="AO956" s="129"/>
      <c r="AP956" s="129"/>
      <c r="AQ956" s="132"/>
      <c r="AR956" s="129"/>
      <c r="AS956" s="129"/>
      <c r="AT956" s="132"/>
      <c r="AU956" s="129"/>
      <c r="AV956" s="129"/>
      <c r="AW956" s="132"/>
      <c r="AX956" s="129"/>
      <c r="AY956" s="129"/>
      <c r="AZ956" s="132"/>
      <c r="BA956" s="129"/>
      <c r="BB956" s="129"/>
      <c r="BC956" s="132"/>
      <c r="BD956" s="129"/>
      <c r="BE956" s="129"/>
      <c r="BF956" s="132"/>
      <c r="BG956" s="129"/>
      <c r="BH956" s="129"/>
      <c r="BI956" s="132"/>
      <c r="BJ956" s="129"/>
      <c r="BK956" s="129"/>
      <c r="BL956" s="132"/>
      <c r="BM956" s="129"/>
      <c r="BN956" s="129"/>
      <c r="BO956" s="132"/>
      <c r="BP956" s="129"/>
      <c r="BQ956" s="129"/>
      <c r="BR956" s="132"/>
      <c r="BS956" s="129"/>
      <c r="BT956" s="129"/>
      <c r="BU956" s="132"/>
      <c r="BV956" s="129"/>
      <c r="BW956" s="129"/>
      <c r="BX956" s="132"/>
      <c r="BY956" s="129"/>
      <c r="BZ956" s="129"/>
      <c r="CA956" s="132"/>
      <c r="CB956" s="129"/>
      <c r="CC956" s="129"/>
      <c r="CD956" s="132"/>
      <c r="CE956" s="129"/>
      <c r="CF956" s="129"/>
      <c r="CG956" s="132"/>
      <c r="CH956" s="129"/>
      <c r="CI956" s="129"/>
      <c r="CJ956" s="132"/>
      <c r="CK956" s="129"/>
      <c r="CL956" s="129"/>
      <c r="CM956" s="132"/>
      <c r="CN956" s="129"/>
      <c r="CO956" s="129"/>
      <c r="CP956" s="132"/>
      <c r="CQ956" s="129"/>
      <c r="CR956" s="129"/>
      <c r="CS956" s="132"/>
      <c r="CT956" s="129"/>
      <c r="CU956" s="129"/>
      <c r="CV956" s="132"/>
      <c r="CW956" s="129"/>
      <c r="CX956" s="129"/>
      <c r="CY956" s="132"/>
      <c r="CZ956" s="129"/>
      <c r="DA956" s="129"/>
      <c r="DB956" s="132"/>
      <c r="DC956" s="129"/>
      <c r="DD956" s="129"/>
      <c r="DE956" s="132"/>
      <c r="DF956" s="129"/>
      <c r="DG956" s="129"/>
      <c r="DH956" s="132"/>
      <c r="DI956" s="129"/>
      <c r="DJ956" s="129"/>
      <c r="DK956" s="132"/>
      <c r="DL956" s="129"/>
      <c r="DM956" s="129"/>
      <c r="DN956" s="132"/>
      <c r="DO956" s="129"/>
      <c r="DP956" s="129"/>
      <c r="DQ956" s="132"/>
      <c r="DR956" s="129"/>
      <c r="DS956" s="129"/>
      <c r="DT956" s="132"/>
      <c r="DU956" s="129"/>
      <c r="DV956" s="129"/>
      <c r="DW956" s="132"/>
      <c r="DX956" s="129"/>
      <c r="DY956" s="129"/>
      <c r="DZ956" s="132"/>
      <c r="EA956" s="129"/>
      <c r="EB956" s="129"/>
      <c r="EC956" s="132"/>
      <c r="ED956" s="129"/>
      <c r="EE956" s="129"/>
      <c r="EF956" s="132"/>
      <c r="EG956" s="129"/>
      <c r="EH956" s="129"/>
      <c r="EI956" s="132"/>
      <c r="EJ956" s="129"/>
      <c r="EK956" s="129"/>
      <c r="EL956" s="132"/>
      <c r="EM956" s="129"/>
      <c r="EN956" s="129"/>
      <c r="EO956" s="132"/>
      <c r="EP956" s="129"/>
      <c r="EQ956" s="129"/>
      <c r="ER956" s="132"/>
      <c r="ES956" s="129"/>
      <c r="ET956" s="129"/>
      <c r="EU956" s="132"/>
      <c r="EV956" s="129"/>
      <c r="EW956" s="129"/>
      <c r="EX956" s="132"/>
      <c r="EY956" s="129"/>
      <c r="EZ956" s="129"/>
      <c r="FA956" s="132"/>
      <c r="FB956" s="129"/>
      <c r="FC956" s="129"/>
      <c r="FD956" s="132"/>
      <c r="FE956" s="129"/>
      <c r="FF956" s="129"/>
      <c r="FG956" s="132"/>
      <c r="FH956" s="129"/>
      <c r="FI956" s="129"/>
      <c r="FJ956" s="132"/>
      <c r="FK956" s="129"/>
      <c r="FL956" s="129"/>
      <c r="FM956" s="132"/>
      <c r="FN956" s="129"/>
      <c r="FO956" s="129"/>
      <c r="FP956" s="132"/>
      <c r="FQ956" s="129"/>
      <c r="FR956" s="129"/>
      <c r="FS956" s="132"/>
      <c r="FT956" s="129"/>
      <c r="FU956" s="129"/>
      <c r="FV956" s="132"/>
      <c r="FW956" s="129"/>
      <c r="FX956" s="129"/>
      <c r="FY956" s="132"/>
      <c r="FZ956" s="129"/>
      <c r="GA956" s="129"/>
      <c r="GB956" s="132"/>
      <c r="GC956" s="129"/>
      <c r="GD956" s="129"/>
      <c r="GE956" s="132"/>
      <c r="GF956" s="129"/>
      <c r="GG956" s="129"/>
      <c r="GH956" s="132"/>
      <c r="GI956" s="129"/>
      <c r="GJ956" s="129"/>
      <c r="GK956" s="132"/>
      <c r="GL956" s="129"/>
      <c r="GM956" s="129"/>
      <c r="GN956" s="132"/>
      <c r="GO956" s="129"/>
      <c r="GP956" s="129"/>
      <c r="GQ956" s="132"/>
      <c r="GR956" s="129"/>
      <c r="GS956" s="129"/>
      <c r="GT956" s="132"/>
      <c r="GU956" s="129"/>
      <c r="GV956" s="129"/>
      <c r="GW956" s="132"/>
      <c r="GX956" s="129"/>
      <c r="GY956" s="129"/>
      <c r="GZ956" s="132"/>
      <c r="HA956" s="129"/>
      <c r="HB956" s="129"/>
      <c r="HC956" s="132"/>
      <c r="HD956" s="129"/>
      <c r="HE956" s="129"/>
      <c r="HF956" s="132"/>
      <c r="HG956" s="129"/>
      <c r="HH956" s="129"/>
      <c r="HI956" s="132"/>
      <c r="HJ956" s="129"/>
      <c r="HK956" s="129"/>
      <c r="HL956" s="132"/>
      <c r="HM956" s="129"/>
      <c r="HN956" s="129"/>
      <c r="HO956" s="132"/>
      <c r="HP956" s="129"/>
      <c r="HQ956" s="129"/>
      <c r="HR956" s="132"/>
      <c r="HS956" s="129"/>
      <c r="HT956" s="129"/>
      <c r="HU956" s="132"/>
      <c r="HV956" s="129"/>
      <c r="HW956" s="129"/>
      <c r="HX956" s="132"/>
      <c r="HY956" s="129"/>
      <c r="HZ956" s="129"/>
      <c r="IA956" s="132"/>
      <c r="IB956" s="129"/>
      <c r="IC956" s="129"/>
      <c r="ID956" s="132"/>
      <c r="IE956" s="129"/>
      <c r="IF956" s="129"/>
      <c r="IG956" s="132"/>
      <c r="IH956" s="129"/>
      <c r="II956" s="129"/>
      <c r="IJ956" s="132"/>
      <c r="IK956" s="129"/>
      <c r="IL956" s="129"/>
      <c r="IM956" s="132"/>
      <c r="IN956" s="129"/>
      <c r="IO956" s="129"/>
      <c r="IP956" s="132"/>
      <c r="IQ956" s="129"/>
      <c r="IR956" s="129"/>
      <c r="IS956" s="132"/>
      <c r="IT956" s="129"/>
      <c r="IU956" s="129"/>
      <c r="IV956" s="132"/>
    </row>
    <row r="957" spans="1:256" ht="24" customHeight="1">
      <c r="A957" s="156"/>
      <c r="B957" s="118"/>
      <c r="C957" s="132"/>
      <c r="D957" s="129"/>
      <c r="E957" s="129"/>
      <c r="F957" s="130"/>
      <c r="G957" s="399"/>
      <c r="H957" s="120"/>
      <c r="I957" s="417"/>
      <c r="J957" s="120"/>
      <c r="K957" s="404"/>
      <c r="L957" s="120">
        <f t="shared" si="312"/>
        <v>0</v>
      </c>
      <c r="M957" s="120">
        <f t="shared" si="313"/>
        <v>0</v>
      </c>
      <c r="N957" s="120">
        <f t="shared" si="314"/>
        <v>0</v>
      </c>
      <c r="O957" s="404">
        <f t="shared" si="315"/>
        <v>0</v>
      </c>
      <c r="P957" s="127">
        <f t="shared" si="316"/>
        <v>0</v>
      </c>
      <c r="Q957" s="159"/>
      <c r="R957" s="159"/>
      <c r="S957" s="156"/>
      <c r="T957" s="159"/>
      <c r="U957" s="159"/>
      <c r="V957" s="156"/>
      <c r="W957" s="159"/>
      <c r="X957" s="159"/>
      <c r="Y957" s="156"/>
      <c r="Z957" s="159"/>
      <c r="AA957" s="159"/>
      <c r="AB957" s="156"/>
      <c r="AC957" s="159"/>
      <c r="AD957" s="159"/>
      <c r="AE957" s="156"/>
      <c r="AF957" s="159"/>
      <c r="AG957" s="159"/>
      <c r="AH957" s="156"/>
      <c r="AI957" s="159"/>
      <c r="AJ957" s="159"/>
      <c r="AK957" s="156"/>
      <c r="AL957" s="159"/>
      <c r="AM957" s="159"/>
      <c r="AN957" s="156"/>
      <c r="AO957" s="159"/>
      <c r="AP957" s="159"/>
      <c r="AQ957" s="156"/>
      <c r="AR957" s="159"/>
      <c r="AS957" s="159"/>
      <c r="AT957" s="156"/>
      <c r="AU957" s="159"/>
      <c r="AV957" s="159"/>
      <c r="AW957" s="156"/>
      <c r="AX957" s="159"/>
      <c r="AY957" s="159"/>
      <c r="AZ957" s="156"/>
      <c r="BA957" s="159"/>
      <c r="BB957" s="159"/>
      <c r="BC957" s="156"/>
      <c r="BD957" s="159"/>
      <c r="BE957" s="159"/>
      <c r="BF957" s="156"/>
      <c r="BG957" s="159"/>
      <c r="BH957" s="159"/>
      <c r="BI957" s="156"/>
      <c r="BJ957" s="159"/>
      <c r="BK957" s="159"/>
      <c r="BL957" s="156"/>
      <c r="BM957" s="159"/>
      <c r="BN957" s="159"/>
      <c r="BO957" s="156"/>
      <c r="BP957" s="159"/>
      <c r="BQ957" s="159"/>
      <c r="BR957" s="156"/>
      <c r="BS957" s="159"/>
      <c r="BT957" s="159"/>
      <c r="BU957" s="156"/>
      <c r="BV957" s="159"/>
      <c r="BW957" s="159"/>
      <c r="BX957" s="156"/>
      <c r="BY957" s="159"/>
      <c r="BZ957" s="159"/>
      <c r="CA957" s="156"/>
      <c r="CB957" s="159"/>
      <c r="CC957" s="159"/>
      <c r="CD957" s="156"/>
      <c r="CE957" s="159"/>
      <c r="CF957" s="159"/>
      <c r="CG957" s="156"/>
      <c r="CH957" s="159"/>
      <c r="CI957" s="159"/>
      <c r="CJ957" s="156"/>
      <c r="CK957" s="159"/>
      <c r="CL957" s="159"/>
      <c r="CM957" s="156"/>
      <c r="CN957" s="159"/>
      <c r="CO957" s="159"/>
      <c r="CP957" s="156"/>
      <c r="CQ957" s="159"/>
      <c r="CR957" s="159"/>
      <c r="CS957" s="156"/>
      <c r="CT957" s="159"/>
      <c r="CU957" s="159"/>
      <c r="CV957" s="156"/>
      <c r="CW957" s="159"/>
      <c r="CX957" s="159"/>
      <c r="CY957" s="156"/>
      <c r="CZ957" s="159"/>
      <c r="DA957" s="159"/>
      <c r="DB957" s="156"/>
      <c r="DC957" s="159"/>
      <c r="DD957" s="159"/>
      <c r="DE957" s="156"/>
      <c r="DF957" s="159"/>
      <c r="DG957" s="159"/>
      <c r="DH957" s="156"/>
      <c r="DI957" s="159"/>
      <c r="DJ957" s="159"/>
      <c r="DK957" s="156"/>
      <c r="DL957" s="159"/>
      <c r="DM957" s="159"/>
      <c r="DN957" s="156"/>
      <c r="DO957" s="159"/>
      <c r="DP957" s="159"/>
      <c r="DQ957" s="156"/>
      <c r="DR957" s="159"/>
      <c r="DS957" s="159"/>
      <c r="DT957" s="156"/>
      <c r="DU957" s="159"/>
      <c r="DV957" s="159"/>
      <c r="DW957" s="156"/>
      <c r="DX957" s="159"/>
      <c r="DY957" s="159"/>
      <c r="DZ957" s="156"/>
      <c r="EA957" s="159"/>
      <c r="EB957" s="159"/>
      <c r="EC957" s="156"/>
      <c r="ED957" s="159"/>
      <c r="EE957" s="159"/>
      <c r="EF957" s="156"/>
      <c r="EG957" s="159"/>
      <c r="EH957" s="159"/>
      <c r="EI957" s="156"/>
      <c r="EJ957" s="159"/>
      <c r="EK957" s="159"/>
      <c r="EL957" s="156"/>
      <c r="EM957" s="159"/>
      <c r="EN957" s="159"/>
      <c r="EO957" s="156"/>
      <c r="EP957" s="159"/>
      <c r="EQ957" s="159"/>
      <c r="ER957" s="156"/>
      <c r="ES957" s="159"/>
      <c r="ET957" s="159"/>
      <c r="EU957" s="156"/>
      <c r="EV957" s="159"/>
      <c r="EW957" s="159"/>
      <c r="EX957" s="156"/>
      <c r="EY957" s="159"/>
      <c r="EZ957" s="159"/>
      <c r="FA957" s="156"/>
      <c r="FB957" s="159"/>
      <c r="FC957" s="159"/>
      <c r="FD957" s="156"/>
      <c r="FE957" s="159"/>
      <c r="FF957" s="159"/>
      <c r="FG957" s="156"/>
      <c r="FH957" s="159"/>
      <c r="FI957" s="159"/>
      <c r="FJ957" s="156"/>
      <c r="FK957" s="159"/>
      <c r="FL957" s="159"/>
      <c r="FM957" s="156"/>
      <c r="FN957" s="159"/>
      <c r="FO957" s="159"/>
      <c r="FP957" s="156"/>
      <c r="FQ957" s="159"/>
      <c r="FR957" s="159"/>
      <c r="FS957" s="156"/>
      <c r="FT957" s="159"/>
      <c r="FU957" s="159"/>
      <c r="FV957" s="156"/>
      <c r="FW957" s="159"/>
      <c r="FX957" s="159"/>
      <c r="FY957" s="156"/>
      <c r="FZ957" s="159"/>
      <c r="GA957" s="159"/>
      <c r="GB957" s="156"/>
      <c r="GC957" s="159"/>
      <c r="GD957" s="159"/>
      <c r="GE957" s="156"/>
      <c r="GF957" s="159"/>
      <c r="GG957" s="159"/>
      <c r="GH957" s="156"/>
      <c r="GI957" s="159"/>
      <c r="GJ957" s="159"/>
      <c r="GK957" s="156"/>
      <c r="GL957" s="159"/>
      <c r="GM957" s="159"/>
      <c r="GN957" s="156"/>
      <c r="GO957" s="159"/>
      <c r="GP957" s="159"/>
      <c r="GQ957" s="156"/>
      <c r="GR957" s="159"/>
      <c r="GS957" s="159"/>
      <c r="GT957" s="156"/>
      <c r="GU957" s="159"/>
      <c r="GV957" s="159"/>
      <c r="GW957" s="156"/>
      <c r="GX957" s="159"/>
      <c r="GY957" s="159"/>
      <c r="GZ957" s="156"/>
      <c r="HA957" s="159"/>
      <c r="HB957" s="159"/>
      <c r="HC957" s="156"/>
      <c r="HD957" s="159"/>
      <c r="HE957" s="159"/>
      <c r="HF957" s="156"/>
      <c r="HG957" s="159"/>
      <c r="HH957" s="159"/>
      <c r="HI957" s="156"/>
      <c r="HJ957" s="159"/>
      <c r="HK957" s="159"/>
      <c r="HL957" s="156"/>
      <c r="HM957" s="159"/>
      <c r="HN957" s="159"/>
      <c r="HO957" s="156"/>
      <c r="HP957" s="159"/>
      <c r="HQ957" s="159"/>
      <c r="HR957" s="156"/>
      <c r="HS957" s="159"/>
      <c r="HT957" s="159"/>
      <c r="HU957" s="156"/>
      <c r="HV957" s="159"/>
      <c r="HW957" s="159"/>
      <c r="HX957" s="156"/>
      <c r="HY957" s="159"/>
      <c r="HZ957" s="159"/>
      <c r="IA957" s="156"/>
      <c r="IB957" s="159"/>
      <c r="IC957" s="159"/>
      <c r="ID957" s="156"/>
      <c r="IE957" s="159"/>
      <c r="IF957" s="159"/>
      <c r="IG957" s="156"/>
      <c r="IH957" s="159"/>
      <c r="II957" s="159"/>
      <c r="IJ957" s="156"/>
      <c r="IK957" s="159"/>
      <c r="IL957" s="159"/>
      <c r="IM957" s="156"/>
      <c r="IN957" s="159"/>
      <c r="IO957" s="159"/>
      <c r="IP957" s="156"/>
      <c r="IQ957" s="159"/>
      <c r="IR957" s="159"/>
      <c r="IS957" s="156"/>
      <c r="IT957" s="159"/>
      <c r="IU957" s="159"/>
      <c r="IV957" s="156"/>
    </row>
    <row r="958" spans="1:256" ht="24" customHeight="1">
      <c r="A958" s="132"/>
      <c r="B958" s="118"/>
      <c r="C958" s="132" t="s">
        <v>777</v>
      </c>
      <c r="D958" s="129" t="s">
        <v>790</v>
      </c>
      <c r="E958" s="129"/>
      <c r="F958" s="130"/>
      <c r="G958" s="399" t="s">
        <v>592</v>
      </c>
      <c r="H958" s="120">
        <v>123.32</v>
      </c>
      <c r="I958" s="417">
        <v>76.69</v>
      </c>
      <c r="J958" s="120">
        <v>76.69</v>
      </c>
      <c r="K958" s="404"/>
      <c r="L958" s="120">
        <f t="shared" si="312"/>
        <v>76.69</v>
      </c>
      <c r="M958" s="120">
        <f t="shared" si="313"/>
        <v>9457.4107999999997</v>
      </c>
      <c r="N958" s="120">
        <f t="shared" si="314"/>
        <v>9457.4107999999997</v>
      </c>
      <c r="O958" s="404">
        <f t="shared" si="315"/>
        <v>0</v>
      </c>
      <c r="P958" s="127">
        <f t="shared" si="316"/>
        <v>9457.4107999999997</v>
      </c>
      <c r="Q958" s="129"/>
      <c r="R958" s="129"/>
      <c r="S958" s="132"/>
      <c r="T958" s="129"/>
      <c r="U958" s="129"/>
      <c r="V958" s="132"/>
      <c r="W958" s="129"/>
      <c r="X958" s="129"/>
      <c r="Y958" s="132"/>
      <c r="Z958" s="129"/>
      <c r="AA958" s="129"/>
      <c r="AB958" s="132"/>
      <c r="AC958" s="129"/>
      <c r="AD958" s="129"/>
      <c r="AE958" s="132"/>
      <c r="AF958" s="129"/>
      <c r="AG958" s="129"/>
      <c r="AH958" s="132"/>
      <c r="AI958" s="129"/>
      <c r="AJ958" s="129"/>
      <c r="AK958" s="132"/>
      <c r="AL958" s="129"/>
      <c r="AM958" s="129"/>
      <c r="AN958" s="132"/>
      <c r="AO958" s="129"/>
      <c r="AP958" s="129"/>
      <c r="AQ958" s="132"/>
      <c r="AR958" s="129"/>
      <c r="AS958" s="129"/>
      <c r="AT958" s="132"/>
      <c r="AU958" s="129"/>
      <c r="AV958" s="129"/>
      <c r="AW958" s="132"/>
      <c r="AX958" s="129"/>
      <c r="AY958" s="129"/>
      <c r="AZ958" s="132"/>
      <c r="BA958" s="129"/>
      <c r="BB958" s="129"/>
      <c r="BC958" s="132"/>
      <c r="BD958" s="129"/>
      <c r="BE958" s="129"/>
      <c r="BF958" s="132"/>
      <c r="BG958" s="129"/>
      <c r="BH958" s="129"/>
      <c r="BI958" s="132"/>
      <c r="BJ958" s="129"/>
      <c r="BK958" s="129"/>
      <c r="BL958" s="132"/>
      <c r="BM958" s="129"/>
      <c r="BN958" s="129"/>
      <c r="BO958" s="132"/>
      <c r="BP958" s="129"/>
      <c r="BQ958" s="129"/>
      <c r="BR958" s="132"/>
      <c r="BS958" s="129"/>
      <c r="BT958" s="129"/>
      <c r="BU958" s="132"/>
      <c r="BV958" s="129"/>
      <c r="BW958" s="129"/>
      <c r="BX958" s="132"/>
      <c r="BY958" s="129"/>
      <c r="BZ958" s="129"/>
      <c r="CA958" s="132"/>
      <c r="CB958" s="129"/>
      <c r="CC958" s="129"/>
      <c r="CD958" s="132"/>
      <c r="CE958" s="129"/>
      <c r="CF958" s="129"/>
      <c r="CG958" s="132"/>
      <c r="CH958" s="129"/>
      <c r="CI958" s="129"/>
      <c r="CJ958" s="132"/>
      <c r="CK958" s="129"/>
      <c r="CL958" s="129"/>
      <c r="CM958" s="132"/>
      <c r="CN958" s="129"/>
      <c r="CO958" s="129"/>
      <c r="CP958" s="132"/>
      <c r="CQ958" s="129"/>
      <c r="CR958" s="129"/>
      <c r="CS958" s="132"/>
      <c r="CT958" s="129"/>
      <c r="CU958" s="129"/>
      <c r="CV958" s="132"/>
      <c r="CW958" s="129"/>
      <c r="CX958" s="129"/>
      <c r="CY958" s="132"/>
      <c r="CZ958" s="129"/>
      <c r="DA958" s="129"/>
      <c r="DB958" s="132"/>
      <c r="DC958" s="129"/>
      <c r="DD958" s="129"/>
      <c r="DE958" s="132"/>
      <c r="DF958" s="129"/>
      <c r="DG958" s="129"/>
      <c r="DH958" s="132"/>
      <c r="DI958" s="129"/>
      <c r="DJ958" s="129"/>
      <c r="DK958" s="132"/>
      <c r="DL958" s="129"/>
      <c r="DM958" s="129"/>
      <c r="DN958" s="132"/>
      <c r="DO958" s="129"/>
      <c r="DP958" s="129"/>
      <c r="DQ958" s="132"/>
      <c r="DR958" s="129"/>
      <c r="DS958" s="129"/>
      <c r="DT958" s="132"/>
      <c r="DU958" s="129"/>
      <c r="DV958" s="129"/>
      <c r="DW958" s="132"/>
      <c r="DX958" s="129"/>
      <c r="DY958" s="129"/>
      <c r="DZ958" s="132"/>
      <c r="EA958" s="129"/>
      <c r="EB958" s="129"/>
      <c r="EC958" s="132"/>
      <c r="ED958" s="129"/>
      <c r="EE958" s="129"/>
      <c r="EF958" s="132"/>
      <c r="EG958" s="129"/>
      <c r="EH958" s="129"/>
      <c r="EI958" s="132"/>
      <c r="EJ958" s="129"/>
      <c r="EK958" s="129"/>
      <c r="EL958" s="132"/>
      <c r="EM958" s="129"/>
      <c r="EN958" s="129"/>
      <c r="EO958" s="132"/>
      <c r="EP958" s="129"/>
      <c r="EQ958" s="129"/>
      <c r="ER958" s="132"/>
      <c r="ES958" s="129"/>
      <c r="ET958" s="129"/>
      <c r="EU958" s="132"/>
      <c r="EV958" s="129"/>
      <c r="EW958" s="129"/>
      <c r="EX958" s="132"/>
      <c r="EY958" s="129"/>
      <c r="EZ958" s="129"/>
      <c r="FA958" s="132"/>
      <c r="FB958" s="129"/>
      <c r="FC958" s="129"/>
      <c r="FD958" s="132"/>
      <c r="FE958" s="129"/>
      <c r="FF958" s="129"/>
      <c r="FG958" s="132"/>
      <c r="FH958" s="129"/>
      <c r="FI958" s="129"/>
      <c r="FJ958" s="132"/>
      <c r="FK958" s="129"/>
      <c r="FL958" s="129"/>
      <c r="FM958" s="132"/>
      <c r="FN958" s="129"/>
      <c r="FO958" s="129"/>
      <c r="FP958" s="132"/>
      <c r="FQ958" s="129"/>
      <c r="FR958" s="129"/>
      <c r="FS958" s="132"/>
      <c r="FT958" s="129"/>
      <c r="FU958" s="129"/>
      <c r="FV958" s="132"/>
      <c r="FW958" s="129"/>
      <c r="FX958" s="129"/>
      <c r="FY958" s="132"/>
      <c r="FZ958" s="129"/>
      <c r="GA958" s="129"/>
      <c r="GB958" s="132"/>
      <c r="GC958" s="129"/>
      <c r="GD958" s="129"/>
      <c r="GE958" s="132"/>
      <c r="GF958" s="129"/>
      <c r="GG958" s="129"/>
      <c r="GH958" s="132"/>
      <c r="GI958" s="129"/>
      <c r="GJ958" s="129"/>
      <c r="GK958" s="132"/>
      <c r="GL958" s="129"/>
      <c r="GM958" s="129"/>
      <c r="GN958" s="132"/>
      <c r="GO958" s="129"/>
      <c r="GP958" s="129"/>
      <c r="GQ958" s="132"/>
      <c r="GR958" s="129"/>
      <c r="GS958" s="129"/>
      <c r="GT958" s="132"/>
      <c r="GU958" s="129"/>
      <c r="GV958" s="129"/>
      <c r="GW958" s="132"/>
      <c r="GX958" s="129"/>
      <c r="GY958" s="129"/>
      <c r="GZ958" s="132"/>
      <c r="HA958" s="129"/>
      <c r="HB958" s="129"/>
      <c r="HC958" s="132"/>
      <c r="HD958" s="129"/>
      <c r="HE958" s="129"/>
      <c r="HF958" s="132"/>
      <c r="HG958" s="129"/>
      <c r="HH958" s="129"/>
      <c r="HI958" s="132"/>
      <c r="HJ958" s="129"/>
      <c r="HK958" s="129"/>
      <c r="HL958" s="132"/>
      <c r="HM958" s="129"/>
      <c r="HN958" s="129"/>
      <c r="HO958" s="132"/>
      <c r="HP958" s="129"/>
      <c r="HQ958" s="129"/>
      <c r="HR958" s="132"/>
      <c r="HS958" s="129"/>
      <c r="HT958" s="129"/>
      <c r="HU958" s="132"/>
      <c r="HV958" s="129"/>
      <c r="HW958" s="129"/>
      <c r="HX958" s="132"/>
      <c r="HY958" s="129"/>
      <c r="HZ958" s="129"/>
      <c r="IA958" s="132"/>
      <c r="IB958" s="129"/>
      <c r="IC958" s="129"/>
      <c r="ID958" s="132"/>
      <c r="IE958" s="129"/>
      <c r="IF958" s="129"/>
      <c r="IG958" s="132"/>
      <c r="IH958" s="129"/>
      <c r="II958" s="129"/>
      <c r="IJ958" s="132"/>
      <c r="IK958" s="129"/>
      <c r="IL958" s="129"/>
      <c r="IM958" s="132"/>
      <c r="IN958" s="129"/>
      <c r="IO958" s="129"/>
      <c r="IP958" s="132"/>
      <c r="IQ958" s="129"/>
      <c r="IR958" s="129"/>
      <c r="IS958" s="132"/>
      <c r="IT958" s="129"/>
      <c r="IU958" s="129"/>
      <c r="IV958" s="132"/>
    </row>
    <row r="959" spans="1:256" ht="15.75">
      <c r="A959" s="132"/>
      <c r="B959" s="118"/>
      <c r="C959" s="132"/>
      <c r="D959" s="129"/>
      <c r="E959" s="129"/>
      <c r="F959" s="130"/>
      <c r="G959" s="399"/>
      <c r="H959" s="120"/>
      <c r="I959" s="417"/>
      <c r="J959" s="120"/>
      <c r="K959" s="404"/>
      <c r="L959" s="120">
        <f t="shared" si="312"/>
        <v>0</v>
      </c>
      <c r="M959" s="120">
        <f t="shared" si="313"/>
        <v>0</v>
      </c>
      <c r="N959" s="120">
        <f t="shared" si="314"/>
        <v>0</v>
      </c>
      <c r="O959" s="404">
        <f t="shared" si="315"/>
        <v>0</v>
      </c>
      <c r="P959" s="127">
        <f t="shared" si="316"/>
        <v>0</v>
      </c>
      <c r="Q959" s="129"/>
      <c r="R959" s="129"/>
      <c r="S959" s="132"/>
      <c r="T959" s="129"/>
      <c r="U959" s="129"/>
      <c r="V959" s="132"/>
      <c r="W959" s="129"/>
      <c r="X959" s="129"/>
      <c r="Y959" s="132"/>
      <c r="Z959" s="129"/>
      <c r="AA959" s="129"/>
      <c r="AB959" s="132"/>
      <c r="AC959" s="129"/>
      <c r="AD959" s="129"/>
      <c r="AE959" s="132"/>
      <c r="AF959" s="129"/>
      <c r="AG959" s="129"/>
      <c r="AH959" s="132"/>
      <c r="AI959" s="129"/>
      <c r="AJ959" s="129"/>
      <c r="AK959" s="132"/>
      <c r="AL959" s="129"/>
      <c r="AM959" s="129"/>
      <c r="AN959" s="132"/>
      <c r="AO959" s="129"/>
      <c r="AP959" s="129"/>
      <c r="AQ959" s="132"/>
      <c r="AR959" s="129"/>
      <c r="AS959" s="129"/>
      <c r="AT959" s="132"/>
      <c r="AU959" s="129"/>
      <c r="AV959" s="129"/>
      <c r="AW959" s="132"/>
      <c r="AX959" s="129"/>
      <c r="AY959" s="129"/>
      <c r="AZ959" s="132"/>
      <c r="BA959" s="129"/>
      <c r="BB959" s="129"/>
      <c r="BC959" s="132"/>
      <c r="BD959" s="129"/>
      <c r="BE959" s="129"/>
      <c r="BF959" s="132"/>
      <c r="BG959" s="129"/>
      <c r="BH959" s="129"/>
      <c r="BI959" s="132"/>
      <c r="BJ959" s="129"/>
      <c r="BK959" s="129"/>
      <c r="BL959" s="132"/>
      <c r="BM959" s="129"/>
      <c r="BN959" s="129"/>
      <c r="BO959" s="132"/>
      <c r="BP959" s="129"/>
      <c r="BQ959" s="129"/>
      <c r="BR959" s="132"/>
      <c r="BS959" s="129"/>
      <c r="BT959" s="129"/>
      <c r="BU959" s="132"/>
      <c r="BV959" s="129"/>
      <c r="BW959" s="129"/>
      <c r="BX959" s="132"/>
      <c r="BY959" s="129"/>
      <c r="BZ959" s="129"/>
      <c r="CA959" s="132"/>
      <c r="CB959" s="129"/>
      <c r="CC959" s="129"/>
      <c r="CD959" s="132"/>
      <c r="CE959" s="129"/>
      <c r="CF959" s="129"/>
      <c r="CG959" s="132"/>
      <c r="CH959" s="129"/>
      <c r="CI959" s="129"/>
      <c r="CJ959" s="132"/>
      <c r="CK959" s="129"/>
      <c r="CL959" s="129"/>
      <c r="CM959" s="132"/>
      <c r="CN959" s="129"/>
      <c r="CO959" s="129"/>
      <c r="CP959" s="132"/>
      <c r="CQ959" s="129"/>
      <c r="CR959" s="129"/>
      <c r="CS959" s="132"/>
      <c r="CT959" s="129"/>
      <c r="CU959" s="129"/>
      <c r="CV959" s="132"/>
      <c r="CW959" s="129"/>
      <c r="CX959" s="129"/>
      <c r="CY959" s="132"/>
      <c r="CZ959" s="129"/>
      <c r="DA959" s="129"/>
      <c r="DB959" s="132"/>
      <c r="DC959" s="129"/>
      <c r="DD959" s="129"/>
      <c r="DE959" s="132"/>
      <c r="DF959" s="129"/>
      <c r="DG959" s="129"/>
      <c r="DH959" s="132"/>
      <c r="DI959" s="129"/>
      <c r="DJ959" s="129"/>
      <c r="DK959" s="132"/>
      <c r="DL959" s="129"/>
      <c r="DM959" s="129"/>
      <c r="DN959" s="132"/>
      <c r="DO959" s="129"/>
      <c r="DP959" s="129"/>
      <c r="DQ959" s="132"/>
      <c r="DR959" s="129"/>
      <c r="DS959" s="129"/>
      <c r="DT959" s="132"/>
      <c r="DU959" s="129"/>
      <c r="DV959" s="129"/>
      <c r="DW959" s="132"/>
      <c r="DX959" s="129"/>
      <c r="DY959" s="129"/>
      <c r="DZ959" s="132"/>
      <c r="EA959" s="129"/>
      <c r="EB959" s="129"/>
      <c r="EC959" s="132"/>
      <c r="ED959" s="129"/>
      <c r="EE959" s="129"/>
      <c r="EF959" s="132"/>
      <c r="EG959" s="129"/>
      <c r="EH959" s="129"/>
      <c r="EI959" s="132"/>
      <c r="EJ959" s="129"/>
      <c r="EK959" s="129"/>
      <c r="EL959" s="132"/>
      <c r="EM959" s="129"/>
      <c r="EN959" s="129"/>
      <c r="EO959" s="132"/>
      <c r="EP959" s="129"/>
      <c r="EQ959" s="129"/>
      <c r="ER959" s="132"/>
      <c r="ES959" s="129"/>
      <c r="ET959" s="129"/>
      <c r="EU959" s="132"/>
      <c r="EV959" s="129"/>
      <c r="EW959" s="129"/>
      <c r="EX959" s="132"/>
      <c r="EY959" s="129"/>
      <c r="EZ959" s="129"/>
      <c r="FA959" s="132"/>
      <c r="FB959" s="129"/>
      <c r="FC959" s="129"/>
      <c r="FD959" s="132"/>
      <c r="FE959" s="129"/>
      <c r="FF959" s="129"/>
      <c r="FG959" s="132"/>
      <c r="FH959" s="129"/>
      <c r="FI959" s="129"/>
      <c r="FJ959" s="132"/>
      <c r="FK959" s="129"/>
      <c r="FL959" s="129"/>
      <c r="FM959" s="132"/>
      <c r="FN959" s="129"/>
      <c r="FO959" s="129"/>
      <c r="FP959" s="132"/>
      <c r="FQ959" s="129"/>
      <c r="FR959" s="129"/>
      <c r="FS959" s="132"/>
      <c r="FT959" s="129"/>
      <c r="FU959" s="129"/>
      <c r="FV959" s="132"/>
      <c r="FW959" s="129"/>
      <c r="FX959" s="129"/>
      <c r="FY959" s="132"/>
      <c r="FZ959" s="129"/>
      <c r="GA959" s="129"/>
      <c r="GB959" s="132"/>
      <c r="GC959" s="129"/>
      <c r="GD959" s="129"/>
      <c r="GE959" s="132"/>
      <c r="GF959" s="129"/>
      <c r="GG959" s="129"/>
      <c r="GH959" s="132"/>
      <c r="GI959" s="129"/>
      <c r="GJ959" s="129"/>
      <c r="GK959" s="132"/>
      <c r="GL959" s="129"/>
      <c r="GM959" s="129"/>
      <c r="GN959" s="132"/>
      <c r="GO959" s="129"/>
      <c r="GP959" s="129"/>
      <c r="GQ959" s="132"/>
      <c r="GR959" s="129"/>
      <c r="GS959" s="129"/>
      <c r="GT959" s="132"/>
      <c r="GU959" s="129"/>
      <c r="GV959" s="129"/>
      <c r="GW959" s="132"/>
      <c r="GX959" s="129"/>
      <c r="GY959" s="129"/>
      <c r="GZ959" s="132"/>
      <c r="HA959" s="129"/>
      <c r="HB959" s="129"/>
      <c r="HC959" s="132"/>
      <c r="HD959" s="129"/>
      <c r="HE959" s="129"/>
      <c r="HF959" s="132"/>
      <c r="HG959" s="129"/>
      <c r="HH959" s="129"/>
      <c r="HI959" s="132"/>
      <c r="HJ959" s="129"/>
      <c r="HK959" s="129"/>
      <c r="HL959" s="132"/>
      <c r="HM959" s="129"/>
      <c r="HN959" s="129"/>
      <c r="HO959" s="132"/>
      <c r="HP959" s="129"/>
      <c r="HQ959" s="129"/>
      <c r="HR959" s="132"/>
      <c r="HS959" s="129"/>
      <c r="HT959" s="129"/>
      <c r="HU959" s="132"/>
      <c r="HV959" s="129"/>
      <c r="HW959" s="129"/>
      <c r="HX959" s="132"/>
      <c r="HY959" s="129"/>
      <c r="HZ959" s="129"/>
      <c r="IA959" s="132"/>
      <c r="IB959" s="129"/>
      <c r="IC959" s="129"/>
      <c r="ID959" s="132"/>
      <c r="IE959" s="129"/>
      <c r="IF959" s="129"/>
      <c r="IG959" s="132"/>
      <c r="IH959" s="129"/>
      <c r="II959" s="129"/>
      <c r="IJ959" s="132"/>
      <c r="IK959" s="129"/>
      <c r="IL959" s="129"/>
      <c r="IM959" s="132"/>
      <c r="IN959" s="129"/>
      <c r="IO959" s="129"/>
      <c r="IP959" s="132"/>
      <c r="IQ959" s="129"/>
      <c r="IR959" s="129"/>
      <c r="IS959" s="132"/>
      <c r="IT959" s="129"/>
      <c r="IU959" s="129"/>
      <c r="IV959" s="132"/>
    </row>
    <row r="960" spans="1:256" ht="15.75">
      <c r="A960" s="156"/>
      <c r="B960" s="118"/>
      <c r="C960" s="132" t="s">
        <v>789</v>
      </c>
      <c r="D960" s="129" t="s">
        <v>791</v>
      </c>
      <c r="E960" s="129"/>
      <c r="F960" s="130"/>
      <c r="G960" s="399" t="s">
        <v>592</v>
      </c>
      <c r="H960" s="120">
        <v>123.32</v>
      </c>
      <c r="I960" s="417">
        <v>31.49</v>
      </c>
      <c r="J960" s="120">
        <v>31.49</v>
      </c>
      <c r="K960" s="404"/>
      <c r="L960" s="120">
        <f t="shared" si="312"/>
        <v>31.49</v>
      </c>
      <c r="M960" s="120">
        <f t="shared" si="313"/>
        <v>3883.3467999999998</v>
      </c>
      <c r="N960" s="120">
        <f t="shared" si="314"/>
        <v>3883.3467999999998</v>
      </c>
      <c r="O960" s="404">
        <f t="shared" si="315"/>
        <v>0</v>
      </c>
      <c r="P960" s="127">
        <f t="shared" si="316"/>
        <v>3883.3467999999998</v>
      </c>
      <c r="Q960" s="159"/>
      <c r="R960" s="159"/>
      <c r="S960" s="156"/>
      <c r="T960" s="159"/>
      <c r="U960" s="159"/>
      <c r="V960" s="156"/>
      <c r="W960" s="159"/>
      <c r="X960" s="159"/>
      <c r="Y960" s="156"/>
      <c r="Z960" s="159"/>
      <c r="AA960" s="159"/>
      <c r="AB960" s="156"/>
      <c r="AC960" s="159"/>
      <c r="AD960" s="159"/>
      <c r="AE960" s="156"/>
      <c r="AF960" s="159"/>
      <c r="AG960" s="159"/>
      <c r="AH960" s="156"/>
      <c r="AI960" s="159"/>
      <c r="AJ960" s="159"/>
      <c r="AK960" s="156"/>
      <c r="AL960" s="159"/>
      <c r="AM960" s="159"/>
      <c r="AN960" s="156"/>
      <c r="AO960" s="159"/>
      <c r="AP960" s="159"/>
      <c r="AQ960" s="156"/>
      <c r="AR960" s="159"/>
      <c r="AS960" s="159"/>
      <c r="AT960" s="156"/>
      <c r="AU960" s="159"/>
      <c r="AV960" s="159"/>
      <c r="AW960" s="156"/>
      <c r="AX960" s="159"/>
      <c r="AY960" s="159"/>
      <c r="AZ960" s="156"/>
      <c r="BA960" s="159"/>
      <c r="BB960" s="159"/>
      <c r="BC960" s="156"/>
      <c r="BD960" s="159"/>
      <c r="BE960" s="159"/>
      <c r="BF960" s="156"/>
      <c r="BG960" s="159"/>
      <c r="BH960" s="159"/>
      <c r="BI960" s="156"/>
      <c r="BJ960" s="159"/>
      <c r="BK960" s="159"/>
      <c r="BL960" s="156"/>
      <c r="BM960" s="159"/>
      <c r="BN960" s="159"/>
      <c r="BO960" s="156"/>
      <c r="BP960" s="159"/>
      <c r="BQ960" s="159"/>
      <c r="BR960" s="156"/>
      <c r="BS960" s="159"/>
      <c r="BT960" s="159"/>
      <c r="BU960" s="156"/>
      <c r="BV960" s="159"/>
      <c r="BW960" s="159"/>
      <c r="BX960" s="156"/>
      <c r="BY960" s="159"/>
      <c r="BZ960" s="159"/>
      <c r="CA960" s="156"/>
      <c r="CB960" s="159"/>
      <c r="CC960" s="159"/>
      <c r="CD960" s="156"/>
      <c r="CE960" s="159"/>
      <c r="CF960" s="159"/>
      <c r="CG960" s="156"/>
      <c r="CH960" s="159"/>
      <c r="CI960" s="159"/>
      <c r="CJ960" s="156"/>
      <c r="CK960" s="159"/>
      <c r="CL960" s="159"/>
      <c r="CM960" s="156"/>
      <c r="CN960" s="159"/>
      <c r="CO960" s="159"/>
      <c r="CP960" s="156"/>
      <c r="CQ960" s="159"/>
      <c r="CR960" s="159"/>
      <c r="CS960" s="156"/>
      <c r="CT960" s="159"/>
      <c r="CU960" s="159"/>
      <c r="CV960" s="156"/>
      <c r="CW960" s="159"/>
      <c r="CX960" s="159"/>
      <c r="CY960" s="156"/>
      <c r="CZ960" s="159"/>
      <c r="DA960" s="159"/>
      <c r="DB960" s="156"/>
      <c r="DC960" s="159"/>
      <c r="DD960" s="159"/>
      <c r="DE960" s="156"/>
      <c r="DF960" s="159"/>
      <c r="DG960" s="159"/>
      <c r="DH960" s="156"/>
      <c r="DI960" s="159"/>
      <c r="DJ960" s="159"/>
      <c r="DK960" s="156"/>
      <c r="DL960" s="159"/>
      <c r="DM960" s="159"/>
      <c r="DN960" s="156"/>
      <c r="DO960" s="159"/>
      <c r="DP960" s="159"/>
      <c r="DQ960" s="156"/>
      <c r="DR960" s="159"/>
      <c r="DS960" s="159"/>
      <c r="DT960" s="156"/>
      <c r="DU960" s="159"/>
      <c r="DV960" s="159"/>
      <c r="DW960" s="156"/>
      <c r="DX960" s="159"/>
      <c r="DY960" s="159"/>
      <c r="DZ960" s="156"/>
      <c r="EA960" s="159"/>
      <c r="EB960" s="159"/>
      <c r="EC960" s="156"/>
      <c r="ED960" s="159"/>
      <c r="EE960" s="159"/>
      <c r="EF960" s="156"/>
      <c r="EG960" s="159"/>
      <c r="EH960" s="159"/>
      <c r="EI960" s="156"/>
      <c r="EJ960" s="159"/>
      <c r="EK960" s="159"/>
      <c r="EL960" s="156"/>
      <c r="EM960" s="159"/>
      <c r="EN960" s="159"/>
      <c r="EO960" s="156"/>
      <c r="EP960" s="159"/>
      <c r="EQ960" s="159"/>
      <c r="ER960" s="156"/>
      <c r="ES960" s="159"/>
      <c r="ET960" s="159"/>
      <c r="EU960" s="156"/>
      <c r="EV960" s="159"/>
      <c r="EW960" s="159"/>
      <c r="EX960" s="156"/>
      <c r="EY960" s="159"/>
      <c r="EZ960" s="159"/>
      <c r="FA960" s="156"/>
      <c r="FB960" s="159"/>
      <c r="FC960" s="159"/>
      <c r="FD960" s="156"/>
      <c r="FE960" s="159"/>
      <c r="FF960" s="159"/>
      <c r="FG960" s="156"/>
      <c r="FH960" s="159"/>
      <c r="FI960" s="159"/>
      <c r="FJ960" s="156"/>
      <c r="FK960" s="159"/>
      <c r="FL960" s="159"/>
      <c r="FM960" s="156"/>
      <c r="FN960" s="159"/>
      <c r="FO960" s="159"/>
      <c r="FP960" s="156"/>
      <c r="FQ960" s="159"/>
      <c r="FR960" s="159"/>
      <c r="FS960" s="156"/>
      <c r="FT960" s="159"/>
      <c r="FU960" s="159"/>
      <c r="FV960" s="156"/>
      <c r="FW960" s="159"/>
      <c r="FX960" s="159"/>
      <c r="FY960" s="156"/>
      <c r="FZ960" s="159"/>
      <c r="GA960" s="159"/>
      <c r="GB960" s="156"/>
      <c r="GC960" s="159"/>
      <c r="GD960" s="159"/>
      <c r="GE960" s="156"/>
      <c r="GF960" s="159"/>
      <c r="GG960" s="159"/>
      <c r="GH960" s="156"/>
      <c r="GI960" s="159"/>
      <c r="GJ960" s="159"/>
      <c r="GK960" s="156"/>
      <c r="GL960" s="159"/>
      <c r="GM960" s="159"/>
      <c r="GN960" s="156"/>
      <c r="GO960" s="159"/>
      <c r="GP960" s="159"/>
      <c r="GQ960" s="156"/>
      <c r="GR960" s="159"/>
      <c r="GS960" s="159"/>
      <c r="GT960" s="156"/>
      <c r="GU960" s="159"/>
      <c r="GV960" s="159"/>
      <c r="GW960" s="156"/>
      <c r="GX960" s="159"/>
      <c r="GY960" s="159"/>
      <c r="GZ960" s="156"/>
      <c r="HA960" s="159"/>
      <c r="HB960" s="159"/>
      <c r="HC960" s="156"/>
      <c r="HD960" s="159"/>
      <c r="HE960" s="159"/>
      <c r="HF960" s="156"/>
      <c r="HG960" s="159"/>
      <c r="HH960" s="159"/>
      <c r="HI960" s="156"/>
      <c r="HJ960" s="159"/>
      <c r="HK960" s="159"/>
      <c r="HL960" s="156"/>
      <c r="HM960" s="159"/>
      <c r="HN960" s="159"/>
      <c r="HO960" s="156"/>
      <c r="HP960" s="159"/>
      <c r="HQ960" s="159"/>
      <c r="HR960" s="156"/>
      <c r="HS960" s="159"/>
      <c r="HT960" s="159"/>
      <c r="HU960" s="156"/>
      <c r="HV960" s="159"/>
      <c r="HW960" s="159"/>
      <c r="HX960" s="156"/>
      <c r="HY960" s="159"/>
      <c r="HZ960" s="159"/>
      <c r="IA960" s="156"/>
      <c r="IB960" s="159"/>
      <c r="IC960" s="159"/>
      <c r="ID960" s="156"/>
      <c r="IE960" s="159"/>
      <c r="IF960" s="159"/>
      <c r="IG960" s="156"/>
      <c r="IH960" s="159"/>
      <c r="II960" s="159"/>
      <c r="IJ960" s="156"/>
      <c r="IK960" s="159"/>
      <c r="IL960" s="159"/>
      <c r="IM960" s="156"/>
      <c r="IN960" s="159"/>
      <c r="IO960" s="159"/>
      <c r="IP960" s="156"/>
      <c r="IQ960" s="159"/>
      <c r="IR960" s="159"/>
      <c r="IS960" s="156"/>
      <c r="IT960" s="159"/>
      <c r="IU960" s="159"/>
      <c r="IV960" s="156"/>
    </row>
    <row r="961" spans="1:256" ht="15.75">
      <c r="A961" s="132"/>
      <c r="B961" s="147"/>
      <c r="C961" s="132"/>
      <c r="D961" s="129"/>
      <c r="E961" s="129"/>
      <c r="F961" s="130"/>
      <c r="G961" s="399"/>
      <c r="H961" s="120"/>
      <c r="I961" s="417"/>
      <c r="J961" s="120"/>
      <c r="K961" s="404"/>
      <c r="L961" s="120">
        <f t="shared" si="312"/>
        <v>0</v>
      </c>
      <c r="M961" s="120">
        <f t="shared" si="313"/>
        <v>0</v>
      </c>
      <c r="N961" s="120">
        <f t="shared" si="314"/>
        <v>0</v>
      </c>
      <c r="O961" s="404">
        <f t="shared" si="315"/>
        <v>0</v>
      </c>
      <c r="P961" s="127">
        <f t="shared" si="316"/>
        <v>0</v>
      </c>
      <c r="Q961" s="129"/>
      <c r="R961" s="129"/>
      <c r="S961" s="132"/>
      <c r="T961" s="129"/>
      <c r="U961" s="129"/>
      <c r="V961" s="132"/>
      <c r="W961" s="129"/>
      <c r="X961" s="129"/>
      <c r="Y961" s="132"/>
      <c r="Z961" s="129"/>
      <c r="AA961" s="129"/>
      <c r="AB961" s="132"/>
      <c r="AC961" s="129"/>
      <c r="AD961" s="129"/>
      <c r="AE961" s="132"/>
      <c r="AF961" s="129"/>
      <c r="AG961" s="129"/>
      <c r="AH961" s="132"/>
      <c r="AI961" s="129"/>
      <c r="AJ961" s="129"/>
      <c r="AK961" s="132"/>
      <c r="AL961" s="129"/>
      <c r="AM961" s="129"/>
      <c r="AN961" s="132"/>
      <c r="AO961" s="129"/>
      <c r="AP961" s="129"/>
      <c r="AQ961" s="132"/>
      <c r="AR961" s="129"/>
      <c r="AS961" s="129"/>
      <c r="AT961" s="132"/>
      <c r="AU961" s="129"/>
      <c r="AV961" s="129"/>
      <c r="AW961" s="132"/>
      <c r="AX961" s="129"/>
      <c r="AY961" s="129"/>
      <c r="AZ961" s="132"/>
      <c r="BA961" s="129"/>
      <c r="BB961" s="129"/>
      <c r="BC961" s="132"/>
      <c r="BD961" s="129"/>
      <c r="BE961" s="129"/>
      <c r="BF961" s="132"/>
      <c r="BG961" s="129"/>
      <c r="BH961" s="129"/>
      <c r="BI961" s="132"/>
      <c r="BJ961" s="129"/>
      <c r="BK961" s="129"/>
      <c r="BL961" s="132"/>
      <c r="BM961" s="129"/>
      <c r="BN961" s="129"/>
      <c r="BO961" s="132"/>
      <c r="BP961" s="129"/>
      <c r="BQ961" s="129"/>
      <c r="BR961" s="132"/>
      <c r="BS961" s="129"/>
      <c r="BT961" s="129"/>
      <c r="BU961" s="132"/>
      <c r="BV961" s="129"/>
      <c r="BW961" s="129"/>
      <c r="BX961" s="132"/>
      <c r="BY961" s="129"/>
      <c r="BZ961" s="129"/>
      <c r="CA961" s="132"/>
      <c r="CB961" s="129"/>
      <c r="CC961" s="129"/>
      <c r="CD961" s="132"/>
      <c r="CE961" s="129"/>
      <c r="CF961" s="129"/>
      <c r="CG961" s="132"/>
      <c r="CH961" s="129"/>
      <c r="CI961" s="129"/>
      <c r="CJ961" s="132"/>
      <c r="CK961" s="129"/>
      <c r="CL961" s="129"/>
      <c r="CM961" s="132"/>
      <c r="CN961" s="129"/>
      <c r="CO961" s="129"/>
      <c r="CP961" s="132"/>
      <c r="CQ961" s="129"/>
      <c r="CR961" s="129"/>
      <c r="CS961" s="132"/>
      <c r="CT961" s="129"/>
      <c r="CU961" s="129"/>
      <c r="CV961" s="132"/>
      <c r="CW961" s="129"/>
      <c r="CX961" s="129"/>
      <c r="CY961" s="132"/>
      <c r="CZ961" s="129"/>
      <c r="DA961" s="129"/>
      <c r="DB961" s="132"/>
      <c r="DC961" s="129"/>
      <c r="DD961" s="129"/>
      <c r="DE961" s="132"/>
      <c r="DF961" s="129"/>
      <c r="DG961" s="129"/>
      <c r="DH961" s="132"/>
      <c r="DI961" s="129"/>
      <c r="DJ961" s="129"/>
      <c r="DK961" s="132"/>
      <c r="DL961" s="129"/>
      <c r="DM961" s="129"/>
      <c r="DN961" s="132"/>
      <c r="DO961" s="129"/>
      <c r="DP961" s="129"/>
      <c r="DQ961" s="132"/>
      <c r="DR961" s="129"/>
      <c r="DS961" s="129"/>
      <c r="DT961" s="132"/>
      <c r="DU961" s="129"/>
      <c r="DV961" s="129"/>
      <c r="DW961" s="132"/>
      <c r="DX961" s="129"/>
      <c r="DY961" s="129"/>
      <c r="DZ961" s="132"/>
      <c r="EA961" s="129"/>
      <c r="EB961" s="129"/>
      <c r="EC961" s="132"/>
      <c r="ED961" s="129"/>
      <c r="EE961" s="129"/>
      <c r="EF961" s="132"/>
      <c r="EG961" s="129"/>
      <c r="EH961" s="129"/>
      <c r="EI961" s="132"/>
      <c r="EJ961" s="129"/>
      <c r="EK961" s="129"/>
      <c r="EL961" s="132"/>
      <c r="EM961" s="129"/>
      <c r="EN961" s="129"/>
      <c r="EO961" s="132"/>
      <c r="EP961" s="129"/>
      <c r="EQ961" s="129"/>
      <c r="ER961" s="132"/>
      <c r="ES961" s="129"/>
      <c r="ET961" s="129"/>
      <c r="EU961" s="132"/>
      <c r="EV961" s="129"/>
      <c r="EW961" s="129"/>
      <c r="EX961" s="132"/>
      <c r="EY961" s="129"/>
      <c r="EZ961" s="129"/>
      <c r="FA961" s="132"/>
      <c r="FB961" s="129"/>
      <c r="FC961" s="129"/>
      <c r="FD961" s="132"/>
      <c r="FE961" s="129"/>
      <c r="FF961" s="129"/>
      <c r="FG961" s="132"/>
      <c r="FH961" s="129"/>
      <c r="FI961" s="129"/>
      <c r="FJ961" s="132"/>
      <c r="FK961" s="129"/>
      <c r="FL961" s="129"/>
      <c r="FM961" s="132"/>
      <c r="FN961" s="129"/>
      <c r="FO961" s="129"/>
      <c r="FP961" s="132"/>
      <c r="FQ961" s="129"/>
      <c r="FR961" s="129"/>
      <c r="FS961" s="132"/>
      <c r="FT961" s="129"/>
      <c r="FU961" s="129"/>
      <c r="FV961" s="132"/>
      <c r="FW961" s="129"/>
      <c r="FX961" s="129"/>
      <c r="FY961" s="132"/>
      <c r="FZ961" s="129"/>
      <c r="GA961" s="129"/>
      <c r="GB961" s="132"/>
      <c r="GC961" s="129"/>
      <c r="GD961" s="129"/>
      <c r="GE961" s="132"/>
      <c r="GF961" s="129"/>
      <c r="GG961" s="129"/>
      <c r="GH961" s="132"/>
      <c r="GI961" s="129"/>
      <c r="GJ961" s="129"/>
      <c r="GK961" s="132"/>
      <c r="GL961" s="129"/>
      <c r="GM961" s="129"/>
      <c r="GN961" s="132"/>
      <c r="GO961" s="129"/>
      <c r="GP961" s="129"/>
      <c r="GQ961" s="132"/>
      <c r="GR961" s="129"/>
      <c r="GS961" s="129"/>
      <c r="GT961" s="132"/>
      <c r="GU961" s="129"/>
      <c r="GV961" s="129"/>
      <c r="GW961" s="132"/>
      <c r="GX961" s="129"/>
      <c r="GY961" s="129"/>
      <c r="GZ961" s="132"/>
      <c r="HA961" s="129"/>
      <c r="HB961" s="129"/>
      <c r="HC961" s="132"/>
      <c r="HD961" s="129"/>
      <c r="HE961" s="129"/>
      <c r="HF961" s="132"/>
      <c r="HG961" s="129"/>
      <c r="HH961" s="129"/>
      <c r="HI961" s="132"/>
      <c r="HJ961" s="129"/>
      <c r="HK961" s="129"/>
      <c r="HL961" s="132"/>
      <c r="HM961" s="129"/>
      <c r="HN961" s="129"/>
      <c r="HO961" s="132"/>
      <c r="HP961" s="129"/>
      <c r="HQ961" s="129"/>
      <c r="HR961" s="132"/>
      <c r="HS961" s="129"/>
      <c r="HT961" s="129"/>
      <c r="HU961" s="132"/>
      <c r="HV961" s="129"/>
      <c r="HW961" s="129"/>
      <c r="HX961" s="132"/>
      <c r="HY961" s="129"/>
      <c r="HZ961" s="129"/>
      <c r="IA961" s="132"/>
      <c r="IB961" s="129"/>
      <c r="IC961" s="129"/>
      <c r="ID961" s="132"/>
      <c r="IE961" s="129"/>
      <c r="IF961" s="129"/>
      <c r="IG961" s="132"/>
      <c r="IH961" s="129"/>
      <c r="II961" s="129"/>
      <c r="IJ961" s="132"/>
      <c r="IK961" s="129"/>
      <c r="IL961" s="129"/>
      <c r="IM961" s="132"/>
      <c r="IN961" s="129"/>
      <c r="IO961" s="129"/>
      <c r="IP961" s="132"/>
      <c r="IQ961" s="129"/>
      <c r="IR961" s="129"/>
      <c r="IS961" s="132"/>
      <c r="IT961" s="129"/>
      <c r="IU961" s="129"/>
      <c r="IV961" s="132"/>
    </row>
    <row r="962" spans="1:256" ht="15.75">
      <c r="A962" s="132"/>
      <c r="B962" s="118"/>
      <c r="C962" s="132" t="s">
        <v>793</v>
      </c>
      <c r="D962" s="129" t="s">
        <v>795</v>
      </c>
      <c r="E962" s="129"/>
      <c r="F962" s="130"/>
      <c r="G962" s="399" t="s">
        <v>841</v>
      </c>
      <c r="H962" s="120">
        <v>926.04</v>
      </c>
      <c r="I962" s="417">
        <v>1</v>
      </c>
      <c r="J962" s="120">
        <v>1</v>
      </c>
      <c r="K962" s="404"/>
      <c r="L962" s="120">
        <f t="shared" si="312"/>
        <v>1</v>
      </c>
      <c r="M962" s="120">
        <f t="shared" si="313"/>
        <v>926.04</v>
      </c>
      <c r="N962" s="120">
        <f t="shared" si="314"/>
        <v>926.04</v>
      </c>
      <c r="O962" s="404">
        <f t="shared" si="315"/>
        <v>0</v>
      </c>
      <c r="P962" s="127">
        <f t="shared" si="316"/>
        <v>926.04</v>
      </c>
      <c r="Q962" s="129"/>
      <c r="R962" s="129"/>
      <c r="S962" s="132"/>
      <c r="T962" s="129"/>
      <c r="U962" s="129"/>
      <c r="V962" s="132"/>
      <c r="W962" s="129"/>
      <c r="X962" s="129"/>
      <c r="Y962" s="132"/>
      <c r="Z962" s="129"/>
      <c r="AA962" s="129"/>
      <c r="AB962" s="132"/>
      <c r="AC962" s="129"/>
      <c r="AD962" s="129"/>
      <c r="AE962" s="132"/>
      <c r="AF962" s="129"/>
      <c r="AG962" s="129"/>
      <c r="AH962" s="132"/>
      <c r="AI962" s="129"/>
      <c r="AJ962" s="129"/>
      <c r="AK962" s="132"/>
      <c r="AL962" s="129"/>
      <c r="AM962" s="129"/>
      <c r="AN962" s="132"/>
      <c r="AO962" s="129"/>
      <c r="AP962" s="129"/>
      <c r="AQ962" s="132"/>
      <c r="AR962" s="129"/>
      <c r="AS962" s="129"/>
      <c r="AT962" s="132"/>
      <c r="AU962" s="129"/>
      <c r="AV962" s="129"/>
      <c r="AW962" s="132"/>
      <c r="AX962" s="129"/>
      <c r="AY962" s="129"/>
      <c r="AZ962" s="132"/>
      <c r="BA962" s="129"/>
      <c r="BB962" s="129"/>
      <c r="BC962" s="132"/>
      <c r="BD962" s="129"/>
      <c r="BE962" s="129"/>
      <c r="BF962" s="132"/>
      <c r="BG962" s="129"/>
      <c r="BH962" s="129"/>
      <c r="BI962" s="132"/>
      <c r="BJ962" s="129"/>
      <c r="BK962" s="129"/>
      <c r="BL962" s="132"/>
      <c r="BM962" s="129"/>
      <c r="BN962" s="129"/>
      <c r="BO962" s="132"/>
      <c r="BP962" s="129"/>
      <c r="BQ962" s="129"/>
      <c r="BR962" s="132"/>
      <c r="BS962" s="129"/>
      <c r="BT962" s="129"/>
      <c r="BU962" s="132"/>
      <c r="BV962" s="129"/>
      <c r="BW962" s="129"/>
      <c r="BX962" s="132"/>
      <c r="BY962" s="129"/>
      <c r="BZ962" s="129"/>
      <c r="CA962" s="132"/>
      <c r="CB962" s="129"/>
      <c r="CC962" s="129"/>
      <c r="CD962" s="132"/>
      <c r="CE962" s="129"/>
      <c r="CF962" s="129"/>
      <c r="CG962" s="132"/>
      <c r="CH962" s="129"/>
      <c r="CI962" s="129"/>
      <c r="CJ962" s="132"/>
      <c r="CK962" s="129"/>
      <c r="CL962" s="129"/>
      <c r="CM962" s="132"/>
      <c r="CN962" s="129"/>
      <c r="CO962" s="129"/>
      <c r="CP962" s="132"/>
      <c r="CQ962" s="129"/>
      <c r="CR962" s="129"/>
      <c r="CS962" s="132"/>
      <c r="CT962" s="129"/>
      <c r="CU962" s="129"/>
      <c r="CV962" s="132"/>
      <c r="CW962" s="129"/>
      <c r="CX962" s="129"/>
      <c r="CY962" s="132"/>
      <c r="CZ962" s="129"/>
      <c r="DA962" s="129"/>
      <c r="DB962" s="132"/>
      <c r="DC962" s="129"/>
      <c r="DD962" s="129"/>
      <c r="DE962" s="132"/>
      <c r="DF962" s="129"/>
      <c r="DG962" s="129"/>
      <c r="DH962" s="132"/>
      <c r="DI962" s="129"/>
      <c r="DJ962" s="129"/>
      <c r="DK962" s="132"/>
      <c r="DL962" s="129"/>
      <c r="DM962" s="129"/>
      <c r="DN962" s="132"/>
      <c r="DO962" s="129"/>
      <c r="DP962" s="129"/>
      <c r="DQ962" s="132"/>
      <c r="DR962" s="129"/>
      <c r="DS962" s="129"/>
      <c r="DT962" s="132"/>
      <c r="DU962" s="129"/>
      <c r="DV962" s="129"/>
      <c r="DW962" s="132"/>
      <c r="DX962" s="129"/>
      <c r="DY962" s="129"/>
      <c r="DZ962" s="132"/>
      <c r="EA962" s="129"/>
      <c r="EB962" s="129"/>
      <c r="EC962" s="132"/>
      <c r="ED962" s="129"/>
      <c r="EE962" s="129"/>
      <c r="EF962" s="132"/>
      <c r="EG962" s="129"/>
      <c r="EH962" s="129"/>
      <c r="EI962" s="132"/>
      <c r="EJ962" s="129"/>
      <c r="EK962" s="129"/>
      <c r="EL962" s="132"/>
      <c r="EM962" s="129"/>
      <c r="EN962" s="129"/>
      <c r="EO962" s="132"/>
      <c r="EP962" s="129"/>
      <c r="EQ962" s="129"/>
      <c r="ER962" s="132"/>
      <c r="ES962" s="129"/>
      <c r="ET962" s="129"/>
      <c r="EU962" s="132"/>
      <c r="EV962" s="129"/>
      <c r="EW962" s="129"/>
      <c r="EX962" s="132"/>
      <c r="EY962" s="129"/>
      <c r="EZ962" s="129"/>
      <c r="FA962" s="132"/>
      <c r="FB962" s="129"/>
      <c r="FC962" s="129"/>
      <c r="FD962" s="132"/>
      <c r="FE962" s="129"/>
      <c r="FF962" s="129"/>
      <c r="FG962" s="132"/>
      <c r="FH962" s="129"/>
      <c r="FI962" s="129"/>
      <c r="FJ962" s="132"/>
      <c r="FK962" s="129"/>
      <c r="FL962" s="129"/>
      <c r="FM962" s="132"/>
      <c r="FN962" s="129"/>
      <c r="FO962" s="129"/>
      <c r="FP962" s="132"/>
      <c r="FQ962" s="129"/>
      <c r="FR962" s="129"/>
      <c r="FS962" s="132"/>
      <c r="FT962" s="129"/>
      <c r="FU962" s="129"/>
      <c r="FV962" s="132"/>
      <c r="FW962" s="129"/>
      <c r="FX962" s="129"/>
      <c r="FY962" s="132"/>
      <c r="FZ962" s="129"/>
      <c r="GA962" s="129"/>
      <c r="GB962" s="132"/>
      <c r="GC962" s="129"/>
      <c r="GD962" s="129"/>
      <c r="GE962" s="132"/>
      <c r="GF962" s="129"/>
      <c r="GG962" s="129"/>
      <c r="GH962" s="132"/>
      <c r="GI962" s="129"/>
      <c r="GJ962" s="129"/>
      <c r="GK962" s="132"/>
      <c r="GL962" s="129"/>
      <c r="GM962" s="129"/>
      <c r="GN962" s="132"/>
      <c r="GO962" s="129"/>
      <c r="GP962" s="129"/>
      <c r="GQ962" s="132"/>
      <c r="GR962" s="129"/>
      <c r="GS962" s="129"/>
      <c r="GT962" s="132"/>
      <c r="GU962" s="129"/>
      <c r="GV962" s="129"/>
      <c r="GW962" s="132"/>
      <c r="GX962" s="129"/>
      <c r="GY962" s="129"/>
      <c r="GZ962" s="132"/>
      <c r="HA962" s="129"/>
      <c r="HB962" s="129"/>
      <c r="HC962" s="132"/>
      <c r="HD962" s="129"/>
      <c r="HE962" s="129"/>
      <c r="HF962" s="132"/>
      <c r="HG962" s="129"/>
      <c r="HH962" s="129"/>
      <c r="HI962" s="132"/>
      <c r="HJ962" s="129"/>
      <c r="HK962" s="129"/>
      <c r="HL962" s="132"/>
      <c r="HM962" s="129"/>
      <c r="HN962" s="129"/>
      <c r="HO962" s="132"/>
      <c r="HP962" s="129"/>
      <c r="HQ962" s="129"/>
      <c r="HR962" s="132"/>
      <c r="HS962" s="129"/>
      <c r="HT962" s="129"/>
      <c r="HU962" s="132"/>
      <c r="HV962" s="129"/>
      <c r="HW962" s="129"/>
      <c r="HX962" s="132"/>
      <c r="HY962" s="129"/>
      <c r="HZ962" s="129"/>
      <c r="IA962" s="132"/>
      <c r="IB962" s="129"/>
      <c r="IC962" s="129"/>
      <c r="ID962" s="132"/>
      <c r="IE962" s="129"/>
      <c r="IF962" s="129"/>
      <c r="IG962" s="132"/>
      <c r="IH962" s="129"/>
      <c r="II962" s="129"/>
      <c r="IJ962" s="132"/>
      <c r="IK962" s="129"/>
      <c r="IL962" s="129"/>
      <c r="IM962" s="132"/>
      <c r="IN962" s="129"/>
      <c r="IO962" s="129"/>
      <c r="IP962" s="132"/>
      <c r="IQ962" s="129"/>
      <c r="IR962" s="129"/>
      <c r="IS962" s="132"/>
      <c r="IT962" s="129"/>
      <c r="IU962" s="129"/>
      <c r="IV962" s="132"/>
    </row>
    <row r="963" spans="1:256" ht="15.75">
      <c r="A963" s="156"/>
      <c r="B963" s="118"/>
      <c r="C963" s="132"/>
      <c r="D963" s="129"/>
      <c r="E963" s="129"/>
      <c r="F963" s="130"/>
      <c r="G963" s="399"/>
      <c r="H963" s="120"/>
      <c r="I963" s="417"/>
      <c r="J963" s="120"/>
      <c r="K963" s="404"/>
      <c r="L963" s="120"/>
      <c r="M963" s="120"/>
      <c r="N963" s="120"/>
      <c r="O963" s="404"/>
      <c r="P963" s="127"/>
      <c r="Q963" s="159"/>
      <c r="R963" s="159"/>
      <c r="S963" s="156"/>
      <c r="T963" s="159"/>
      <c r="U963" s="159"/>
      <c r="V963" s="156"/>
      <c r="W963" s="159"/>
      <c r="X963" s="159"/>
      <c r="Y963" s="156"/>
      <c r="Z963" s="159"/>
      <c r="AA963" s="159"/>
      <c r="AB963" s="156"/>
      <c r="AC963" s="159"/>
      <c r="AD963" s="159"/>
      <c r="AE963" s="156"/>
      <c r="AF963" s="159"/>
      <c r="AG963" s="159"/>
      <c r="AH963" s="156"/>
      <c r="AI963" s="159"/>
      <c r="AJ963" s="159"/>
      <c r="AK963" s="156"/>
      <c r="AL963" s="159"/>
      <c r="AM963" s="159"/>
      <c r="AN963" s="156"/>
      <c r="AO963" s="159"/>
      <c r="AP963" s="159"/>
      <c r="AQ963" s="156"/>
      <c r="AR963" s="159"/>
      <c r="AS963" s="159"/>
      <c r="AT963" s="156"/>
      <c r="AU963" s="159"/>
      <c r="AV963" s="159"/>
      <c r="AW963" s="156"/>
      <c r="AX963" s="159"/>
      <c r="AY963" s="159"/>
      <c r="AZ963" s="156"/>
      <c r="BA963" s="159"/>
      <c r="BB963" s="159"/>
      <c r="BC963" s="156"/>
      <c r="BD963" s="159"/>
      <c r="BE963" s="159"/>
      <c r="BF963" s="156"/>
      <c r="BG963" s="159"/>
      <c r="BH963" s="159"/>
      <c r="BI963" s="156"/>
      <c r="BJ963" s="159"/>
      <c r="BK963" s="159"/>
      <c r="BL963" s="156"/>
      <c r="BM963" s="159"/>
      <c r="BN963" s="159"/>
      <c r="BO963" s="156"/>
      <c r="BP963" s="159"/>
      <c r="BQ963" s="159"/>
      <c r="BR963" s="156"/>
      <c r="BS963" s="159"/>
      <c r="BT963" s="159"/>
      <c r="BU963" s="156"/>
      <c r="BV963" s="159"/>
      <c r="BW963" s="159"/>
      <c r="BX963" s="156"/>
      <c r="BY963" s="159"/>
      <c r="BZ963" s="159"/>
      <c r="CA963" s="156"/>
      <c r="CB963" s="159"/>
      <c r="CC963" s="159"/>
      <c r="CD963" s="156"/>
      <c r="CE963" s="159"/>
      <c r="CF963" s="159"/>
      <c r="CG963" s="156"/>
      <c r="CH963" s="159"/>
      <c r="CI963" s="159"/>
      <c r="CJ963" s="156"/>
      <c r="CK963" s="159"/>
      <c r="CL963" s="159"/>
      <c r="CM963" s="156"/>
      <c r="CN963" s="159"/>
      <c r="CO963" s="159"/>
      <c r="CP963" s="156"/>
      <c r="CQ963" s="159"/>
      <c r="CR963" s="159"/>
      <c r="CS963" s="156"/>
      <c r="CT963" s="159"/>
      <c r="CU963" s="159"/>
      <c r="CV963" s="156"/>
      <c r="CW963" s="159"/>
      <c r="CX963" s="159"/>
      <c r="CY963" s="156"/>
      <c r="CZ963" s="159"/>
      <c r="DA963" s="159"/>
      <c r="DB963" s="156"/>
      <c r="DC963" s="159"/>
      <c r="DD963" s="159"/>
      <c r="DE963" s="156"/>
      <c r="DF963" s="159"/>
      <c r="DG963" s="159"/>
      <c r="DH963" s="156"/>
      <c r="DI963" s="159"/>
      <c r="DJ963" s="159"/>
      <c r="DK963" s="156"/>
      <c r="DL963" s="159"/>
      <c r="DM963" s="159"/>
      <c r="DN963" s="156"/>
      <c r="DO963" s="159"/>
      <c r="DP963" s="159"/>
      <c r="DQ963" s="156"/>
      <c r="DR963" s="159"/>
      <c r="DS963" s="159"/>
      <c r="DT963" s="156"/>
      <c r="DU963" s="159"/>
      <c r="DV963" s="159"/>
      <c r="DW963" s="156"/>
      <c r="DX963" s="159"/>
      <c r="DY963" s="159"/>
      <c r="DZ963" s="156"/>
      <c r="EA963" s="159"/>
      <c r="EB963" s="159"/>
      <c r="EC963" s="156"/>
      <c r="ED963" s="159"/>
      <c r="EE963" s="159"/>
      <c r="EF963" s="156"/>
      <c r="EG963" s="159"/>
      <c r="EH963" s="159"/>
      <c r="EI963" s="156"/>
      <c r="EJ963" s="159"/>
      <c r="EK963" s="159"/>
      <c r="EL963" s="156"/>
      <c r="EM963" s="159"/>
      <c r="EN963" s="159"/>
      <c r="EO963" s="156"/>
      <c r="EP963" s="159"/>
      <c r="EQ963" s="159"/>
      <c r="ER963" s="156"/>
      <c r="ES963" s="159"/>
      <c r="ET963" s="159"/>
      <c r="EU963" s="156"/>
      <c r="EV963" s="159"/>
      <c r="EW963" s="159"/>
      <c r="EX963" s="156"/>
      <c r="EY963" s="159"/>
      <c r="EZ963" s="159"/>
      <c r="FA963" s="156"/>
      <c r="FB963" s="159"/>
      <c r="FC963" s="159"/>
      <c r="FD963" s="156"/>
      <c r="FE963" s="159"/>
      <c r="FF963" s="159"/>
      <c r="FG963" s="156"/>
      <c r="FH963" s="159"/>
      <c r="FI963" s="159"/>
      <c r="FJ963" s="156"/>
      <c r="FK963" s="159"/>
      <c r="FL963" s="159"/>
      <c r="FM963" s="156"/>
      <c r="FN963" s="159"/>
      <c r="FO963" s="159"/>
      <c r="FP963" s="156"/>
      <c r="FQ963" s="159"/>
      <c r="FR963" s="159"/>
      <c r="FS963" s="156"/>
      <c r="FT963" s="159"/>
      <c r="FU963" s="159"/>
      <c r="FV963" s="156"/>
      <c r="FW963" s="159"/>
      <c r="FX963" s="159"/>
      <c r="FY963" s="156"/>
      <c r="FZ963" s="159"/>
      <c r="GA963" s="159"/>
      <c r="GB963" s="156"/>
      <c r="GC963" s="159"/>
      <c r="GD963" s="159"/>
      <c r="GE963" s="156"/>
      <c r="GF963" s="159"/>
      <c r="GG963" s="159"/>
      <c r="GH963" s="156"/>
      <c r="GI963" s="159"/>
      <c r="GJ963" s="159"/>
      <c r="GK963" s="156"/>
      <c r="GL963" s="159"/>
      <c r="GM963" s="159"/>
      <c r="GN963" s="156"/>
      <c r="GO963" s="159"/>
      <c r="GP963" s="159"/>
      <c r="GQ963" s="156"/>
      <c r="GR963" s="159"/>
      <c r="GS963" s="159"/>
      <c r="GT963" s="156"/>
      <c r="GU963" s="159"/>
      <c r="GV963" s="159"/>
      <c r="GW963" s="156"/>
      <c r="GX963" s="159"/>
      <c r="GY963" s="159"/>
      <c r="GZ963" s="156"/>
      <c r="HA963" s="159"/>
      <c r="HB963" s="159"/>
      <c r="HC963" s="156"/>
      <c r="HD963" s="159"/>
      <c r="HE963" s="159"/>
      <c r="HF963" s="156"/>
      <c r="HG963" s="159"/>
      <c r="HH963" s="159"/>
      <c r="HI963" s="156"/>
      <c r="HJ963" s="159"/>
      <c r="HK963" s="159"/>
      <c r="HL963" s="156"/>
      <c r="HM963" s="159"/>
      <c r="HN963" s="159"/>
      <c r="HO963" s="156"/>
      <c r="HP963" s="159"/>
      <c r="HQ963" s="159"/>
      <c r="HR963" s="156"/>
      <c r="HS963" s="159"/>
      <c r="HT963" s="159"/>
      <c r="HU963" s="156"/>
      <c r="HV963" s="159"/>
      <c r="HW963" s="159"/>
      <c r="HX963" s="156"/>
      <c r="HY963" s="159"/>
      <c r="HZ963" s="159"/>
      <c r="IA963" s="156"/>
      <c r="IB963" s="159"/>
      <c r="IC963" s="159"/>
      <c r="ID963" s="156"/>
      <c r="IE963" s="159"/>
      <c r="IF963" s="159"/>
      <c r="IG963" s="156"/>
      <c r="IH963" s="159"/>
      <c r="II963" s="159"/>
      <c r="IJ963" s="156"/>
      <c r="IK963" s="159"/>
      <c r="IL963" s="159"/>
      <c r="IM963" s="156"/>
      <c r="IN963" s="159"/>
      <c r="IO963" s="159"/>
      <c r="IP963" s="156"/>
      <c r="IQ963" s="159"/>
      <c r="IR963" s="159"/>
      <c r="IS963" s="156"/>
      <c r="IT963" s="159"/>
      <c r="IU963" s="159"/>
      <c r="IV963" s="156"/>
    </row>
    <row r="964" spans="1:256" ht="24" customHeight="1">
      <c r="A964" s="132"/>
      <c r="B964" s="118"/>
      <c r="C964" s="132" t="s">
        <v>312</v>
      </c>
      <c r="D964" s="129"/>
      <c r="E964" s="129"/>
      <c r="F964" s="130"/>
      <c r="G964" s="399"/>
      <c r="H964" s="120"/>
      <c r="I964" s="417"/>
      <c r="J964" s="120"/>
      <c r="K964" s="404"/>
      <c r="L964" s="120"/>
      <c r="M964" s="120">
        <f>SUM(M931:M962)</f>
        <v>104002.4366</v>
      </c>
      <c r="N964" s="120">
        <f>SUM(N931:N962)</f>
        <v>104073.05660000001</v>
      </c>
      <c r="O964" s="404">
        <f>SUM(O931:O962)</f>
        <v>0</v>
      </c>
      <c r="P964" s="127">
        <f>SUM(P931:P962)</f>
        <v>104073.05660000001</v>
      </c>
      <c r="Q964" s="129"/>
      <c r="R964" s="129"/>
      <c r="S964" s="132"/>
      <c r="T964" s="129"/>
      <c r="U964" s="129"/>
      <c r="V964" s="132"/>
      <c r="W964" s="129"/>
      <c r="X964" s="129"/>
      <c r="Y964" s="132"/>
      <c r="Z964" s="129"/>
      <c r="AA964" s="129"/>
      <c r="AB964" s="132"/>
      <c r="AC964" s="129"/>
      <c r="AD964" s="129"/>
      <c r="AE964" s="132"/>
      <c r="AF964" s="129"/>
      <c r="AG964" s="129"/>
      <c r="AH964" s="132"/>
      <c r="AI964" s="129"/>
      <c r="AJ964" s="129"/>
      <c r="AK964" s="132"/>
      <c r="AL964" s="129"/>
      <c r="AM964" s="129"/>
      <c r="AN964" s="132"/>
      <c r="AO964" s="129"/>
      <c r="AP964" s="129"/>
      <c r="AQ964" s="132"/>
      <c r="AR964" s="129"/>
      <c r="AS964" s="129"/>
      <c r="AT964" s="132"/>
      <c r="AU964" s="129"/>
      <c r="AV964" s="129"/>
      <c r="AW964" s="132"/>
      <c r="AX964" s="129"/>
      <c r="AY964" s="129"/>
      <c r="AZ964" s="132"/>
      <c r="BA964" s="129"/>
      <c r="BB964" s="129"/>
      <c r="BC964" s="132"/>
      <c r="BD964" s="129"/>
      <c r="BE964" s="129"/>
      <c r="BF964" s="132"/>
      <c r="BG964" s="129"/>
      <c r="BH964" s="129"/>
      <c r="BI964" s="132"/>
      <c r="BJ964" s="129"/>
      <c r="BK964" s="129"/>
      <c r="BL964" s="132"/>
      <c r="BM964" s="129"/>
      <c r="BN964" s="129"/>
      <c r="BO964" s="132"/>
      <c r="BP964" s="129"/>
      <c r="BQ964" s="129"/>
      <c r="BR964" s="132"/>
      <c r="BS964" s="129"/>
      <c r="BT964" s="129"/>
      <c r="BU964" s="132"/>
      <c r="BV964" s="129"/>
      <c r="BW964" s="129"/>
      <c r="BX964" s="132"/>
      <c r="BY964" s="129"/>
      <c r="BZ964" s="129"/>
      <c r="CA964" s="132"/>
      <c r="CB964" s="129"/>
      <c r="CC964" s="129"/>
      <c r="CD964" s="132"/>
      <c r="CE964" s="129"/>
      <c r="CF964" s="129"/>
      <c r="CG964" s="132"/>
      <c r="CH964" s="129"/>
      <c r="CI964" s="129"/>
      <c r="CJ964" s="132"/>
      <c r="CK964" s="129"/>
      <c r="CL964" s="129"/>
      <c r="CM964" s="132"/>
      <c r="CN964" s="129"/>
      <c r="CO964" s="129"/>
      <c r="CP964" s="132"/>
      <c r="CQ964" s="129"/>
      <c r="CR964" s="129"/>
      <c r="CS964" s="132"/>
      <c r="CT964" s="129"/>
      <c r="CU964" s="129"/>
      <c r="CV964" s="132"/>
      <c r="CW964" s="129"/>
      <c r="CX964" s="129"/>
      <c r="CY964" s="132"/>
      <c r="CZ964" s="129"/>
      <c r="DA964" s="129"/>
      <c r="DB964" s="132"/>
      <c r="DC964" s="129"/>
      <c r="DD964" s="129"/>
      <c r="DE964" s="132"/>
      <c r="DF964" s="129"/>
      <c r="DG964" s="129"/>
      <c r="DH964" s="132"/>
      <c r="DI964" s="129"/>
      <c r="DJ964" s="129"/>
      <c r="DK964" s="132"/>
      <c r="DL964" s="129"/>
      <c r="DM964" s="129"/>
      <c r="DN964" s="132"/>
      <c r="DO964" s="129"/>
      <c r="DP964" s="129"/>
      <c r="DQ964" s="132"/>
      <c r="DR964" s="129"/>
      <c r="DS964" s="129"/>
      <c r="DT964" s="132"/>
      <c r="DU964" s="129"/>
      <c r="DV964" s="129"/>
      <c r="DW964" s="132"/>
      <c r="DX964" s="129"/>
      <c r="DY964" s="129"/>
      <c r="DZ964" s="132"/>
      <c r="EA964" s="129"/>
      <c r="EB964" s="129"/>
      <c r="EC964" s="132"/>
      <c r="ED964" s="129"/>
      <c r="EE964" s="129"/>
      <c r="EF964" s="132"/>
      <c r="EG964" s="129"/>
      <c r="EH964" s="129"/>
      <c r="EI964" s="132"/>
      <c r="EJ964" s="129"/>
      <c r="EK964" s="129"/>
      <c r="EL964" s="132"/>
      <c r="EM964" s="129"/>
      <c r="EN964" s="129"/>
      <c r="EO964" s="132"/>
      <c r="EP964" s="129"/>
      <c r="EQ964" s="129"/>
      <c r="ER964" s="132"/>
      <c r="ES964" s="129"/>
      <c r="ET964" s="129"/>
      <c r="EU964" s="132"/>
      <c r="EV964" s="129"/>
      <c r="EW964" s="129"/>
      <c r="EX964" s="132"/>
      <c r="EY964" s="129"/>
      <c r="EZ964" s="129"/>
      <c r="FA964" s="132"/>
      <c r="FB964" s="129"/>
      <c r="FC964" s="129"/>
      <c r="FD964" s="132"/>
      <c r="FE964" s="129"/>
      <c r="FF964" s="129"/>
      <c r="FG964" s="132"/>
      <c r="FH964" s="129"/>
      <c r="FI964" s="129"/>
      <c r="FJ964" s="132"/>
      <c r="FK964" s="129"/>
      <c r="FL964" s="129"/>
      <c r="FM964" s="132"/>
      <c r="FN964" s="129"/>
      <c r="FO964" s="129"/>
      <c r="FP964" s="132"/>
      <c r="FQ964" s="129"/>
      <c r="FR964" s="129"/>
      <c r="FS964" s="132"/>
      <c r="FT964" s="129"/>
      <c r="FU964" s="129"/>
      <c r="FV964" s="132"/>
      <c r="FW964" s="129"/>
      <c r="FX964" s="129"/>
      <c r="FY964" s="132"/>
      <c r="FZ964" s="129"/>
      <c r="GA964" s="129"/>
      <c r="GB964" s="132"/>
      <c r="GC964" s="129"/>
      <c r="GD964" s="129"/>
      <c r="GE964" s="132"/>
      <c r="GF964" s="129"/>
      <c r="GG964" s="129"/>
      <c r="GH964" s="132"/>
      <c r="GI964" s="129"/>
      <c r="GJ964" s="129"/>
      <c r="GK964" s="132"/>
      <c r="GL964" s="129"/>
      <c r="GM964" s="129"/>
      <c r="GN964" s="132"/>
      <c r="GO964" s="129"/>
      <c r="GP964" s="129"/>
      <c r="GQ964" s="132"/>
      <c r="GR964" s="129"/>
      <c r="GS964" s="129"/>
      <c r="GT964" s="132"/>
      <c r="GU964" s="129"/>
      <c r="GV964" s="129"/>
      <c r="GW964" s="132"/>
      <c r="GX964" s="129"/>
      <c r="GY964" s="129"/>
      <c r="GZ964" s="132"/>
      <c r="HA964" s="129"/>
      <c r="HB964" s="129"/>
      <c r="HC964" s="132"/>
      <c r="HD964" s="129"/>
      <c r="HE964" s="129"/>
      <c r="HF964" s="132"/>
      <c r="HG964" s="129"/>
      <c r="HH964" s="129"/>
      <c r="HI964" s="132"/>
      <c r="HJ964" s="129"/>
      <c r="HK964" s="129"/>
      <c r="HL964" s="132"/>
      <c r="HM964" s="129"/>
      <c r="HN964" s="129"/>
      <c r="HO964" s="132"/>
      <c r="HP964" s="129"/>
      <c r="HQ964" s="129"/>
      <c r="HR964" s="132"/>
      <c r="HS964" s="129"/>
      <c r="HT964" s="129"/>
      <c r="HU964" s="132"/>
      <c r="HV964" s="129"/>
      <c r="HW964" s="129"/>
      <c r="HX964" s="132"/>
      <c r="HY964" s="129"/>
      <c r="HZ964" s="129"/>
      <c r="IA964" s="132"/>
      <c r="IB964" s="129"/>
      <c r="IC964" s="129"/>
      <c r="ID964" s="132"/>
      <c r="IE964" s="129"/>
      <c r="IF964" s="129"/>
      <c r="IG964" s="132"/>
      <c r="IH964" s="129"/>
      <c r="II964" s="129"/>
      <c r="IJ964" s="132"/>
      <c r="IK964" s="129"/>
      <c r="IL964" s="129"/>
      <c r="IM964" s="132"/>
      <c r="IN964" s="129"/>
      <c r="IO964" s="129"/>
      <c r="IP964" s="132"/>
      <c r="IQ964" s="129"/>
      <c r="IR964" s="129"/>
      <c r="IS964" s="132"/>
      <c r="IT964" s="129"/>
      <c r="IU964" s="129"/>
      <c r="IV964" s="132"/>
    </row>
    <row r="965" spans="1:256" ht="15.75">
      <c r="A965" s="132"/>
      <c r="B965" s="118"/>
      <c r="C965" s="132"/>
      <c r="D965" s="129"/>
      <c r="E965" s="129"/>
      <c r="F965" s="130"/>
      <c r="G965" s="399"/>
      <c r="H965" s="120"/>
      <c r="I965" s="417"/>
      <c r="J965" s="120"/>
      <c r="K965" s="404"/>
      <c r="L965" s="120"/>
      <c r="M965" s="120"/>
      <c r="N965" s="120"/>
      <c r="O965" s="404"/>
      <c r="P965" s="127"/>
      <c r="Q965" s="129"/>
      <c r="R965" s="129"/>
      <c r="S965" s="132"/>
      <c r="T965" s="129"/>
      <c r="U965" s="129"/>
      <c r="V965" s="132"/>
      <c r="W965" s="129"/>
      <c r="X965" s="129"/>
      <c r="Y965" s="132"/>
      <c r="Z965" s="129"/>
      <c r="AA965" s="129"/>
      <c r="AB965" s="132"/>
      <c r="AC965" s="129"/>
      <c r="AD965" s="129"/>
      <c r="AE965" s="132"/>
      <c r="AF965" s="129"/>
      <c r="AG965" s="129"/>
      <c r="AH965" s="132"/>
      <c r="AI965" s="129"/>
      <c r="AJ965" s="129"/>
      <c r="AK965" s="132"/>
      <c r="AL965" s="129"/>
      <c r="AM965" s="129"/>
      <c r="AN965" s="132"/>
      <c r="AO965" s="129"/>
      <c r="AP965" s="129"/>
      <c r="AQ965" s="132"/>
      <c r="AR965" s="129"/>
      <c r="AS965" s="129"/>
      <c r="AT965" s="132"/>
      <c r="AU965" s="129"/>
      <c r="AV965" s="129"/>
      <c r="AW965" s="132"/>
      <c r="AX965" s="129"/>
      <c r="AY965" s="129"/>
      <c r="AZ965" s="132"/>
      <c r="BA965" s="129"/>
      <c r="BB965" s="129"/>
      <c r="BC965" s="132"/>
      <c r="BD965" s="129"/>
      <c r="BE965" s="129"/>
      <c r="BF965" s="132"/>
      <c r="BG965" s="129"/>
      <c r="BH965" s="129"/>
      <c r="BI965" s="132"/>
      <c r="BJ965" s="129"/>
      <c r="BK965" s="129"/>
      <c r="BL965" s="132"/>
      <c r="BM965" s="129"/>
      <c r="BN965" s="129"/>
      <c r="BO965" s="132"/>
      <c r="BP965" s="129"/>
      <c r="BQ965" s="129"/>
      <c r="BR965" s="132"/>
      <c r="BS965" s="129"/>
      <c r="BT965" s="129"/>
      <c r="BU965" s="132"/>
      <c r="BV965" s="129"/>
      <c r="BW965" s="129"/>
      <c r="BX965" s="132"/>
      <c r="BY965" s="129"/>
      <c r="BZ965" s="129"/>
      <c r="CA965" s="132"/>
      <c r="CB965" s="129"/>
      <c r="CC965" s="129"/>
      <c r="CD965" s="132"/>
      <c r="CE965" s="129"/>
      <c r="CF965" s="129"/>
      <c r="CG965" s="132"/>
      <c r="CH965" s="129"/>
      <c r="CI965" s="129"/>
      <c r="CJ965" s="132"/>
      <c r="CK965" s="129"/>
      <c r="CL965" s="129"/>
      <c r="CM965" s="132"/>
      <c r="CN965" s="129"/>
      <c r="CO965" s="129"/>
      <c r="CP965" s="132"/>
      <c r="CQ965" s="129"/>
      <c r="CR965" s="129"/>
      <c r="CS965" s="132"/>
      <c r="CT965" s="129"/>
      <c r="CU965" s="129"/>
      <c r="CV965" s="132"/>
      <c r="CW965" s="129"/>
      <c r="CX965" s="129"/>
      <c r="CY965" s="132"/>
      <c r="CZ965" s="129"/>
      <c r="DA965" s="129"/>
      <c r="DB965" s="132"/>
      <c r="DC965" s="129"/>
      <c r="DD965" s="129"/>
      <c r="DE965" s="132"/>
      <c r="DF965" s="129"/>
      <c r="DG965" s="129"/>
      <c r="DH965" s="132"/>
      <c r="DI965" s="129"/>
      <c r="DJ965" s="129"/>
      <c r="DK965" s="132"/>
      <c r="DL965" s="129"/>
      <c r="DM965" s="129"/>
      <c r="DN965" s="132"/>
      <c r="DO965" s="129"/>
      <c r="DP965" s="129"/>
      <c r="DQ965" s="132"/>
      <c r="DR965" s="129"/>
      <c r="DS965" s="129"/>
      <c r="DT965" s="132"/>
      <c r="DU965" s="129"/>
      <c r="DV965" s="129"/>
      <c r="DW965" s="132"/>
      <c r="DX965" s="129"/>
      <c r="DY965" s="129"/>
      <c r="DZ965" s="132"/>
      <c r="EA965" s="129"/>
      <c r="EB965" s="129"/>
      <c r="EC965" s="132"/>
      <c r="ED965" s="129"/>
      <c r="EE965" s="129"/>
      <c r="EF965" s="132"/>
      <c r="EG965" s="129"/>
      <c r="EH965" s="129"/>
      <c r="EI965" s="132"/>
      <c r="EJ965" s="129"/>
      <c r="EK965" s="129"/>
      <c r="EL965" s="132"/>
      <c r="EM965" s="129"/>
      <c r="EN965" s="129"/>
      <c r="EO965" s="132"/>
      <c r="EP965" s="129"/>
      <c r="EQ965" s="129"/>
      <c r="ER965" s="132"/>
      <c r="ES965" s="129"/>
      <c r="ET965" s="129"/>
      <c r="EU965" s="132"/>
      <c r="EV965" s="129"/>
      <c r="EW965" s="129"/>
      <c r="EX965" s="132"/>
      <c r="EY965" s="129"/>
      <c r="EZ965" s="129"/>
      <c r="FA965" s="132"/>
      <c r="FB965" s="129"/>
      <c r="FC965" s="129"/>
      <c r="FD965" s="132"/>
      <c r="FE965" s="129"/>
      <c r="FF965" s="129"/>
      <c r="FG965" s="132"/>
      <c r="FH965" s="129"/>
      <c r="FI965" s="129"/>
      <c r="FJ965" s="132"/>
      <c r="FK965" s="129"/>
      <c r="FL965" s="129"/>
      <c r="FM965" s="132"/>
      <c r="FN965" s="129"/>
      <c r="FO965" s="129"/>
      <c r="FP965" s="132"/>
      <c r="FQ965" s="129"/>
      <c r="FR965" s="129"/>
      <c r="FS965" s="132"/>
      <c r="FT965" s="129"/>
      <c r="FU965" s="129"/>
      <c r="FV965" s="132"/>
      <c r="FW965" s="129"/>
      <c r="FX965" s="129"/>
      <c r="FY965" s="132"/>
      <c r="FZ965" s="129"/>
      <c r="GA965" s="129"/>
      <c r="GB965" s="132"/>
      <c r="GC965" s="129"/>
      <c r="GD965" s="129"/>
      <c r="GE965" s="132"/>
      <c r="GF965" s="129"/>
      <c r="GG965" s="129"/>
      <c r="GH965" s="132"/>
      <c r="GI965" s="129"/>
      <c r="GJ965" s="129"/>
      <c r="GK965" s="132"/>
      <c r="GL965" s="129"/>
      <c r="GM965" s="129"/>
      <c r="GN965" s="132"/>
      <c r="GO965" s="129"/>
      <c r="GP965" s="129"/>
      <c r="GQ965" s="132"/>
      <c r="GR965" s="129"/>
      <c r="GS965" s="129"/>
      <c r="GT965" s="132"/>
      <c r="GU965" s="129"/>
      <c r="GV965" s="129"/>
      <c r="GW965" s="132"/>
      <c r="GX965" s="129"/>
      <c r="GY965" s="129"/>
      <c r="GZ965" s="132"/>
      <c r="HA965" s="129"/>
      <c r="HB965" s="129"/>
      <c r="HC965" s="132"/>
      <c r="HD965" s="129"/>
      <c r="HE965" s="129"/>
      <c r="HF965" s="132"/>
      <c r="HG965" s="129"/>
      <c r="HH965" s="129"/>
      <c r="HI965" s="132"/>
      <c r="HJ965" s="129"/>
      <c r="HK965" s="129"/>
      <c r="HL965" s="132"/>
      <c r="HM965" s="129"/>
      <c r="HN965" s="129"/>
      <c r="HO965" s="132"/>
      <c r="HP965" s="129"/>
      <c r="HQ965" s="129"/>
      <c r="HR965" s="132"/>
      <c r="HS965" s="129"/>
      <c r="HT965" s="129"/>
      <c r="HU965" s="132"/>
      <c r="HV965" s="129"/>
      <c r="HW965" s="129"/>
      <c r="HX965" s="132"/>
      <c r="HY965" s="129"/>
      <c r="HZ965" s="129"/>
      <c r="IA965" s="132"/>
      <c r="IB965" s="129"/>
      <c r="IC965" s="129"/>
      <c r="ID965" s="132"/>
      <c r="IE965" s="129"/>
      <c r="IF965" s="129"/>
      <c r="IG965" s="132"/>
      <c r="IH965" s="129"/>
      <c r="II965" s="129"/>
      <c r="IJ965" s="132"/>
      <c r="IK965" s="129"/>
      <c r="IL965" s="129"/>
      <c r="IM965" s="132"/>
      <c r="IN965" s="129"/>
      <c r="IO965" s="129"/>
      <c r="IP965" s="132"/>
      <c r="IQ965" s="129"/>
      <c r="IR965" s="129"/>
      <c r="IS965" s="132"/>
      <c r="IT965" s="129"/>
      <c r="IU965" s="129"/>
      <c r="IV965" s="132"/>
    </row>
    <row r="966" spans="1:256" ht="15.75">
      <c r="A966" s="156"/>
      <c r="B966" s="147" t="s">
        <v>840</v>
      </c>
      <c r="C966" s="132" t="s">
        <v>799</v>
      </c>
      <c r="D966" s="129"/>
      <c r="E966" s="129"/>
      <c r="F966" s="130"/>
      <c r="G966" s="399"/>
      <c r="H966" s="120"/>
      <c r="I966" s="417"/>
      <c r="J966" s="120"/>
      <c r="K966" s="404"/>
      <c r="L966" s="120">
        <f>J966+K966</f>
        <v>0</v>
      </c>
      <c r="M966" s="120">
        <f>H966*I966</f>
        <v>0</v>
      </c>
      <c r="N966" s="120">
        <f>H966*J966</f>
        <v>0</v>
      </c>
      <c r="O966" s="404">
        <f>H966*K966</f>
        <v>0</v>
      </c>
      <c r="P966" s="127">
        <f>H966*L966</f>
        <v>0</v>
      </c>
      <c r="Q966" s="159"/>
      <c r="R966" s="159"/>
      <c r="S966" s="156"/>
      <c r="T966" s="159"/>
      <c r="U966" s="159"/>
      <c r="V966" s="156"/>
      <c r="W966" s="159"/>
      <c r="X966" s="159"/>
      <c r="Y966" s="156"/>
      <c r="Z966" s="159"/>
      <c r="AA966" s="159"/>
      <c r="AB966" s="156"/>
      <c r="AC966" s="159"/>
      <c r="AD966" s="159"/>
      <c r="AE966" s="156"/>
      <c r="AF966" s="159"/>
      <c r="AG966" s="159"/>
      <c r="AH966" s="156"/>
      <c r="AI966" s="159"/>
      <c r="AJ966" s="159"/>
      <c r="AK966" s="156"/>
      <c r="AL966" s="159"/>
      <c r="AM966" s="159"/>
      <c r="AN966" s="156"/>
      <c r="AO966" s="159"/>
      <c r="AP966" s="159"/>
      <c r="AQ966" s="156"/>
      <c r="AR966" s="159"/>
      <c r="AS966" s="159"/>
      <c r="AT966" s="156"/>
      <c r="AU966" s="159"/>
      <c r="AV966" s="159"/>
      <c r="AW966" s="156"/>
      <c r="AX966" s="159"/>
      <c r="AY966" s="159"/>
      <c r="AZ966" s="156"/>
      <c r="BA966" s="159"/>
      <c r="BB966" s="159"/>
      <c r="BC966" s="156"/>
      <c r="BD966" s="159"/>
      <c r="BE966" s="159"/>
      <c r="BF966" s="156"/>
      <c r="BG966" s="159"/>
      <c r="BH966" s="159"/>
      <c r="BI966" s="156"/>
      <c r="BJ966" s="159"/>
      <c r="BK966" s="159"/>
      <c r="BL966" s="156"/>
      <c r="BM966" s="159"/>
      <c r="BN966" s="159"/>
      <c r="BO966" s="156"/>
      <c r="BP966" s="159"/>
      <c r="BQ966" s="159"/>
      <c r="BR966" s="156"/>
      <c r="BS966" s="159"/>
      <c r="BT966" s="159"/>
      <c r="BU966" s="156"/>
      <c r="BV966" s="159"/>
      <c r="BW966" s="159"/>
      <c r="BX966" s="156"/>
      <c r="BY966" s="159"/>
      <c r="BZ966" s="159"/>
      <c r="CA966" s="156"/>
      <c r="CB966" s="159"/>
      <c r="CC966" s="159"/>
      <c r="CD966" s="156"/>
      <c r="CE966" s="159"/>
      <c r="CF966" s="159"/>
      <c r="CG966" s="156"/>
      <c r="CH966" s="159"/>
      <c r="CI966" s="159"/>
      <c r="CJ966" s="156"/>
      <c r="CK966" s="159"/>
      <c r="CL966" s="159"/>
      <c r="CM966" s="156"/>
      <c r="CN966" s="159"/>
      <c r="CO966" s="159"/>
      <c r="CP966" s="156"/>
      <c r="CQ966" s="159"/>
      <c r="CR966" s="159"/>
      <c r="CS966" s="156"/>
      <c r="CT966" s="159"/>
      <c r="CU966" s="159"/>
      <c r="CV966" s="156"/>
      <c r="CW966" s="159"/>
      <c r="CX966" s="159"/>
      <c r="CY966" s="156"/>
      <c r="CZ966" s="159"/>
      <c r="DA966" s="159"/>
      <c r="DB966" s="156"/>
      <c r="DC966" s="159"/>
      <c r="DD966" s="159"/>
      <c r="DE966" s="156"/>
      <c r="DF966" s="159"/>
      <c r="DG966" s="159"/>
      <c r="DH966" s="156"/>
      <c r="DI966" s="159"/>
      <c r="DJ966" s="159"/>
      <c r="DK966" s="156"/>
      <c r="DL966" s="159"/>
      <c r="DM966" s="159"/>
      <c r="DN966" s="156"/>
      <c r="DO966" s="159"/>
      <c r="DP966" s="159"/>
      <c r="DQ966" s="156"/>
      <c r="DR966" s="159"/>
      <c r="DS966" s="159"/>
      <c r="DT966" s="156"/>
      <c r="DU966" s="159"/>
      <c r="DV966" s="159"/>
      <c r="DW966" s="156"/>
      <c r="DX966" s="159"/>
      <c r="DY966" s="159"/>
      <c r="DZ966" s="156"/>
      <c r="EA966" s="159"/>
      <c r="EB966" s="159"/>
      <c r="EC966" s="156"/>
      <c r="ED966" s="159"/>
      <c r="EE966" s="159"/>
      <c r="EF966" s="156"/>
      <c r="EG966" s="159"/>
      <c r="EH966" s="159"/>
      <c r="EI966" s="156"/>
      <c r="EJ966" s="159"/>
      <c r="EK966" s="159"/>
      <c r="EL966" s="156"/>
      <c r="EM966" s="159"/>
      <c r="EN966" s="159"/>
      <c r="EO966" s="156"/>
      <c r="EP966" s="159"/>
      <c r="EQ966" s="159"/>
      <c r="ER966" s="156"/>
      <c r="ES966" s="159"/>
      <c r="ET966" s="159"/>
      <c r="EU966" s="156"/>
      <c r="EV966" s="159"/>
      <c r="EW966" s="159"/>
      <c r="EX966" s="156"/>
      <c r="EY966" s="159"/>
      <c r="EZ966" s="159"/>
      <c r="FA966" s="156"/>
      <c r="FB966" s="159"/>
      <c r="FC966" s="159"/>
      <c r="FD966" s="156"/>
      <c r="FE966" s="159"/>
      <c r="FF966" s="159"/>
      <c r="FG966" s="156"/>
      <c r="FH966" s="159"/>
      <c r="FI966" s="159"/>
      <c r="FJ966" s="156"/>
      <c r="FK966" s="159"/>
      <c r="FL966" s="159"/>
      <c r="FM966" s="156"/>
      <c r="FN966" s="159"/>
      <c r="FO966" s="159"/>
      <c r="FP966" s="156"/>
      <c r="FQ966" s="159"/>
      <c r="FR966" s="159"/>
      <c r="FS966" s="156"/>
      <c r="FT966" s="159"/>
      <c r="FU966" s="159"/>
      <c r="FV966" s="156"/>
      <c r="FW966" s="159"/>
      <c r="FX966" s="159"/>
      <c r="FY966" s="156"/>
      <c r="FZ966" s="159"/>
      <c r="GA966" s="159"/>
      <c r="GB966" s="156"/>
      <c r="GC966" s="159"/>
      <c r="GD966" s="159"/>
      <c r="GE966" s="156"/>
      <c r="GF966" s="159"/>
      <c r="GG966" s="159"/>
      <c r="GH966" s="156"/>
      <c r="GI966" s="159"/>
      <c r="GJ966" s="159"/>
      <c r="GK966" s="156"/>
      <c r="GL966" s="159"/>
      <c r="GM966" s="159"/>
      <c r="GN966" s="156"/>
      <c r="GO966" s="159"/>
      <c r="GP966" s="159"/>
      <c r="GQ966" s="156"/>
      <c r="GR966" s="159"/>
      <c r="GS966" s="159"/>
      <c r="GT966" s="156"/>
      <c r="GU966" s="159"/>
      <c r="GV966" s="159"/>
      <c r="GW966" s="156"/>
      <c r="GX966" s="159"/>
      <c r="GY966" s="159"/>
      <c r="GZ966" s="156"/>
      <c r="HA966" s="159"/>
      <c r="HB966" s="159"/>
      <c r="HC966" s="156"/>
      <c r="HD966" s="159"/>
      <c r="HE966" s="159"/>
      <c r="HF966" s="156"/>
      <c r="HG966" s="159"/>
      <c r="HH966" s="159"/>
      <c r="HI966" s="156"/>
      <c r="HJ966" s="159"/>
      <c r="HK966" s="159"/>
      <c r="HL966" s="156"/>
      <c r="HM966" s="159"/>
      <c r="HN966" s="159"/>
      <c r="HO966" s="156"/>
      <c r="HP966" s="159"/>
      <c r="HQ966" s="159"/>
      <c r="HR966" s="156"/>
      <c r="HS966" s="159"/>
      <c r="HT966" s="159"/>
      <c r="HU966" s="156"/>
      <c r="HV966" s="159"/>
      <c r="HW966" s="159"/>
      <c r="HX966" s="156"/>
      <c r="HY966" s="159"/>
      <c r="HZ966" s="159"/>
      <c r="IA966" s="156"/>
      <c r="IB966" s="159"/>
      <c r="IC966" s="159"/>
      <c r="ID966" s="156"/>
      <c r="IE966" s="159"/>
      <c r="IF966" s="159"/>
      <c r="IG966" s="156"/>
      <c r="IH966" s="159"/>
      <c r="II966" s="159"/>
      <c r="IJ966" s="156"/>
      <c r="IK966" s="159"/>
      <c r="IL966" s="159"/>
      <c r="IM966" s="156"/>
      <c r="IN966" s="159"/>
      <c r="IO966" s="159"/>
      <c r="IP966" s="156"/>
      <c r="IQ966" s="159"/>
      <c r="IR966" s="159"/>
      <c r="IS966" s="156"/>
      <c r="IT966" s="159"/>
      <c r="IU966" s="159"/>
      <c r="IV966" s="156"/>
    </row>
    <row r="967" spans="1:256" ht="15.75">
      <c r="A967" s="132"/>
      <c r="B967" s="118"/>
      <c r="C967" s="132" t="s">
        <v>802</v>
      </c>
      <c r="D967" s="129"/>
      <c r="E967" s="129"/>
      <c r="F967" s="130"/>
      <c r="G967" s="399"/>
      <c r="H967" s="120"/>
      <c r="I967" s="417"/>
      <c r="J967" s="120"/>
      <c r="K967" s="404"/>
      <c r="L967" s="120"/>
      <c r="M967" s="120"/>
      <c r="N967" s="120"/>
      <c r="O967" s="404"/>
      <c r="P967" s="127"/>
      <c r="Q967" s="129"/>
      <c r="R967" s="129"/>
      <c r="S967" s="132"/>
      <c r="T967" s="129"/>
      <c r="U967" s="129"/>
      <c r="V967" s="132"/>
      <c r="W967" s="129"/>
      <c r="X967" s="129"/>
      <c r="Y967" s="132"/>
      <c r="Z967" s="129"/>
      <c r="AA967" s="129"/>
      <c r="AB967" s="132"/>
      <c r="AC967" s="129"/>
      <c r="AD967" s="129"/>
      <c r="AE967" s="132"/>
      <c r="AF967" s="129"/>
      <c r="AG967" s="129"/>
      <c r="AH967" s="132"/>
      <c r="AI967" s="129"/>
      <c r="AJ967" s="129"/>
      <c r="AK967" s="132"/>
      <c r="AL967" s="129"/>
      <c r="AM967" s="129"/>
      <c r="AN967" s="132"/>
      <c r="AO967" s="129"/>
      <c r="AP967" s="129"/>
      <c r="AQ967" s="132"/>
      <c r="AR967" s="129"/>
      <c r="AS967" s="129"/>
      <c r="AT967" s="132"/>
      <c r="AU967" s="129"/>
      <c r="AV967" s="129"/>
      <c r="AW967" s="132"/>
      <c r="AX967" s="129"/>
      <c r="AY967" s="129"/>
      <c r="AZ967" s="132"/>
      <c r="BA967" s="129"/>
      <c r="BB967" s="129"/>
      <c r="BC967" s="132"/>
      <c r="BD967" s="129"/>
      <c r="BE967" s="129"/>
      <c r="BF967" s="132"/>
      <c r="BG967" s="129"/>
      <c r="BH967" s="129"/>
      <c r="BI967" s="132"/>
      <c r="BJ967" s="129"/>
      <c r="BK967" s="129"/>
      <c r="BL967" s="132"/>
      <c r="BM967" s="129"/>
      <c r="BN967" s="129"/>
      <c r="BO967" s="132"/>
      <c r="BP967" s="129"/>
      <c r="BQ967" s="129"/>
      <c r="BR967" s="132"/>
      <c r="BS967" s="129"/>
      <c r="BT967" s="129"/>
      <c r="BU967" s="132"/>
      <c r="BV967" s="129"/>
      <c r="BW967" s="129"/>
      <c r="BX967" s="132"/>
      <c r="BY967" s="129"/>
      <c r="BZ967" s="129"/>
      <c r="CA967" s="132"/>
      <c r="CB967" s="129"/>
      <c r="CC967" s="129"/>
      <c r="CD967" s="132"/>
      <c r="CE967" s="129"/>
      <c r="CF967" s="129"/>
      <c r="CG967" s="132"/>
      <c r="CH967" s="129"/>
      <c r="CI967" s="129"/>
      <c r="CJ967" s="132"/>
      <c r="CK967" s="129"/>
      <c r="CL967" s="129"/>
      <c r="CM967" s="132"/>
      <c r="CN967" s="129"/>
      <c r="CO967" s="129"/>
      <c r="CP967" s="132"/>
      <c r="CQ967" s="129"/>
      <c r="CR967" s="129"/>
      <c r="CS967" s="132"/>
      <c r="CT967" s="129"/>
      <c r="CU967" s="129"/>
      <c r="CV967" s="132"/>
      <c r="CW967" s="129"/>
      <c r="CX967" s="129"/>
      <c r="CY967" s="132"/>
      <c r="CZ967" s="129"/>
      <c r="DA967" s="129"/>
      <c r="DB967" s="132"/>
      <c r="DC967" s="129"/>
      <c r="DD967" s="129"/>
      <c r="DE967" s="132"/>
      <c r="DF967" s="129"/>
      <c r="DG967" s="129"/>
      <c r="DH967" s="132"/>
      <c r="DI967" s="129"/>
      <c r="DJ967" s="129"/>
      <c r="DK967" s="132"/>
      <c r="DL967" s="129"/>
      <c r="DM967" s="129"/>
      <c r="DN967" s="132"/>
      <c r="DO967" s="129"/>
      <c r="DP967" s="129"/>
      <c r="DQ967" s="132"/>
      <c r="DR967" s="129"/>
      <c r="DS967" s="129"/>
      <c r="DT967" s="132"/>
      <c r="DU967" s="129"/>
      <c r="DV967" s="129"/>
      <c r="DW967" s="132"/>
      <c r="DX967" s="129"/>
      <c r="DY967" s="129"/>
      <c r="DZ967" s="132"/>
      <c r="EA967" s="129"/>
      <c r="EB967" s="129"/>
      <c r="EC967" s="132"/>
      <c r="ED967" s="129"/>
      <c r="EE967" s="129"/>
      <c r="EF967" s="132"/>
      <c r="EG967" s="129"/>
      <c r="EH967" s="129"/>
      <c r="EI967" s="132"/>
      <c r="EJ967" s="129"/>
      <c r="EK967" s="129"/>
      <c r="EL967" s="132"/>
      <c r="EM967" s="129"/>
      <c r="EN967" s="129"/>
      <c r="EO967" s="132"/>
      <c r="EP967" s="129"/>
      <c r="EQ967" s="129"/>
      <c r="ER967" s="132"/>
      <c r="ES967" s="129"/>
      <c r="ET967" s="129"/>
      <c r="EU967" s="132"/>
      <c r="EV967" s="129"/>
      <c r="EW967" s="129"/>
      <c r="EX967" s="132"/>
      <c r="EY967" s="129"/>
      <c r="EZ967" s="129"/>
      <c r="FA967" s="132"/>
      <c r="FB967" s="129"/>
      <c r="FC967" s="129"/>
      <c r="FD967" s="132"/>
      <c r="FE967" s="129"/>
      <c r="FF967" s="129"/>
      <c r="FG967" s="132"/>
      <c r="FH967" s="129"/>
      <c r="FI967" s="129"/>
      <c r="FJ967" s="132"/>
      <c r="FK967" s="129"/>
      <c r="FL967" s="129"/>
      <c r="FM967" s="132"/>
      <c r="FN967" s="129"/>
      <c r="FO967" s="129"/>
      <c r="FP967" s="132"/>
      <c r="FQ967" s="129"/>
      <c r="FR967" s="129"/>
      <c r="FS967" s="132"/>
      <c r="FT967" s="129"/>
      <c r="FU967" s="129"/>
      <c r="FV967" s="132"/>
      <c r="FW967" s="129"/>
      <c r="FX967" s="129"/>
      <c r="FY967" s="132"/>
      <c r="FZ967" s="129"/>
      <c r="GA967" s="129"/>
      <c r="GB967" s="132"/>
      <c r="GC967" s="129"/>
      <c r="GD967" s="129"/>
      <c r="GE967" s="132"/>
      <c r="GF967" s="129"/>
      <c r="GG967" s="129"/>
      <c r="GH967" s="132"/>
      <c r="GI967" s="129"/>
      <c r="GJ967" s="129"/>
      <c r="GK967" s="132"/>
      <c r="GL967" s="129"/>
      <c r="GM967" s="129"/>
      <c r="GN967" s="132"/>
      <c r="GO967" s="129"/>
      <c r="GP967" s="129"/>
      <c r="GQ967" s="132"/>
      <c r="GR967" s="129"/>
      <c r="GS967" s="129"/>
      <c r="GT967" s="132"/>
      <c r="GU967" s="129"/>
      <c r="GV967" s="129"/>
      <c r="GW967" s="132"/>
      <c r="GX967" s="129"/>
      <c r="GY967" s="129"/>
      <c r="GZ967" s="132"/>
      <c r="HA967" s="129"/>
      <c r="HB967" s="129"/>
      <c r="HC967" s="132"/>
      <c r="HD967" s="129"/>
      <c r="HE967" s="129"/>
      <c r="HF967" s="132"/>
      <c r="HG967" s="129"/>
      <c r="HH967" s="129"/>
      <c r="HI967" s="132"/>
      <c r="HJ967" s="129"/>
      <c r="HK967" s="129"/>
      <c r="HL967" s="132"/>
      <c r="HM967" s="129"/>
      <c r="HN967" s="129"/>
      <c r="HO967" s="132"/>
      <c r="HP967" s="129"/>
      <c r="HQ967" s="129"/>
      <c r="HR967" s="132"/>
      <c r="HS967" s="129"/>
      <c r="HT967" s="129"/>
      <c r="HU967" s="132"/>
      <c r="HV967" s="129"/>
      <c r="HW967" s="129"/>
      <c r="HX967" s="132"/>
      <c r="HY967" s="129"/>
      <c r="HZ967" s="129"/>
      <c r="IA967" s="132"/>
      <c r="IB967" s="129"/>
      <c r="IC967" s="129"/>
      <c r="ID967" s="132"/>
      <c r="IE967" s="129"/>
      <c r="IF967" s="129"/>
      <c r="IG967" s="132"/>
      <c r="IH967" s="129"/>
      <c r="II967" s="129"/>
      <c r="IJ967" s="132"/>
      <c r="IK967" s="129"/>
      <c r="IL967" s="129"/>
      <c r="IM967" s="132"/>
      <c r="IN967" s="129"/>
      <c r="IO967" s="129"/>
      <c r="IP967" s="132"/>
      <c r="IQ967" s="129"/>
      <c r="IR967" s="129"/>
      <c r="IS967" s="132"/>
      <c r="IT967" s="129"/>
      <c r="IU967" s="129"/>
      <c r="IV967" s="132"/>
    </row>
    <row r="968" spans="1:256" ht="15.75">
      <c r="A968" s="132"/>
      <c r="B968" s="118"/>
      <c r="C968" s="132"/>
      <c r="D968" s="129" t="s">
        <v>800</v>
      </c>
      <c r="E968" s="129"/>
      <c r="F968" s="130"/>
      <c r="G968" s="399"/>
      <c r="H968" s="120"/>
      <c r="I968" s="417"/>
      <c r="J968" s="120"/>
      <c r="K968" s="404"/>
      <c r="L968" s="120">
        <f>J968+K968</f>
        <v>0</v>
      </c>
      <c r="M968" s="120">
        <f>H968*I968</f>
        <v>0</v>
      </c>
      <c r="N968" s="120">
        <f>H968*J968</f>
        <v>0</v>
      </c>
      <c r="O968" s="404">
        <f>H968*K968</f>
        <v>0</v>
      </c>
      <c r="P968" s="127">
        <f>H968*L968</f>
        <v>0</v>
      </c>
      <c r="Q968" s="129"/>
      <c r="R968" s="129"/>
      <c r="S968" s="132"/>
      <c r="T968" s="129"/>
      <c r="U968" s="129"/>
      <c r="V968" s="132"/>
      <c r="W968" s="129"/>
      <c r="X968" s="129"/>
      <c r="Y968" s="132"/>
      <c r="Z968" s="129"/>
      <c r="AA968" s="129"/>
      <c r="AB968" s="132"/>
      <c r="AC968" s="129"/>
      <c r="AD968" s="129"/>
      <c r="AE968" s="132"/>
      <c r="AF968" s="129"/>
      <c r="AG968" s="129"/>
      <c r="AH968" s="132"/>
      <c r="AI968" s="129"/>
      <c r="AJ968" s="129"/>
      <c r="AK968" s="132"/>
      <c r="AL968" s="129"/>
      <c r="AM968" s="129"/>
      <c r="AN968" s="132"/>
      <c r="AO968" s="129"/>
      <c r="AP968" s="129"/>
      <c r="AQ968" s="132"/>
      <c r="AR968" s="129"/>
      <c r="AS968" s="129"/>
      <c r="AT968" s="132"/>
      <c r="AU968" s="129"/>
      <c r="AV968" s="129"/>
      <c r="AW968" s="132"/>
      <c r="AX968" s="129"/>
      <c r="AY968" s="129"/>
      <c r="AZ968" s="132"/>
      <c r="BA968" s="129"/>
      <c r="BB968" s="129"/>
      <c r="BC968" s="132"/>
      <c r="BD968" s="129"/>
      <c r="BE968" s="129"/>
      <c r="BF968" s="132"/>
      <c r="BG968" s="129"/>
      <c r="BH968" s="129"/>
      <c r="BI968" s="132"/>
      <c r="BJ968" s="129"/>
      <c r="BK968" s="129"/>
      <c r="BL968" s="132"/>
      <c r="BM968" s="129"/>
      <c r="BN968" s="129"/>
      <c r="BO968" s="132"/>
      <c r="BP968" s="129"/>
      <c r="BQ968" s="129"/>
      <c r="BR968" s="132"/>
      <c r="BS968" s="129"/>
      <c r="BT968" s="129"/>
      <c r="BU968" s="132"/>
      <c r="BV968" s="129"/>
      <c r="BW968" s="129"/>
      <c r="BX968" s="132"/>
      <c r="BY968" s="129"/>
      <c r="BZ968" s="129"/>
      <c r="CA968" s="132"/>
      <c r="CB968" s="129"/>
      <c r="CC968" s="129"/>
      <c r="CD968" s="132"/>
      <c r="CE968" s="129"/>
      <c r="CF968" s="129"/>
      <c r="CG968" s="132"/>
      <c r="CH968" s="129"/>
      <c r="CI968" s="129"/>
      <c r="CJ968" s="132"/>
      <c r="CK968" s="129"/>
      <c r="CL968" s="129"/>
      <c r="CM968" s="132"/>
      <c r="CN968" s="129"/>
      <c r="CO968" s="129"/>
      <c r="CP968" s="132"/>
      <c r="CQ968" s="129"/>
      <c r="CR968" s="129"/>
      <c r="CS968" s="132"/>
      <c r="CT968" s="129"/>
      <c r="CU968" s="129"/>
      <c r="CV968" s="132"/>
      <c r="CW968" s="129"/>
      <c r="CX968" s="129"/>
      <c r="CY968" s="132"/>
      <c r="CZ968" s="129"/>
      <c r="DA968" s="129"/>
      <c r="DB968" s="132"/>
      <c r="DC968" s="129"/>
      <c r="DD968" s="129"/>
      <c r="DE968" s="132"/>
      <c r="DF968" s="129"/>
      <c r="DG968" s="129"/>
      <c r="DH968" s="132"/>
      <c r="DI968" s="129"/>
      <c r="DJ968" s="129"/>
      <c r="DK968" s="132"/>
      <c r="DL968" s="129"/>
      <c r="DM968" s="129"/>
      <c r="DN968" s="132"/>
      <c r="DO968" s="129"/>
      <c r="DP968" s="129"/>
      <c r="DQ968" s="132"/>
      <c r="DR968" s="129"/>
      <c r="DS968" s="129"/>
      <c r="DT968" s="132"/>
      <c r="DU968" s="129"/>
      <c r="DV968" s="129"/>
      <c r="DW968" s="132"/>
      <c r="DX968" s="129"/>
      <c r="DY968" s="129"/>
      <c r="DZ968" s="132"/>
      <c r="EA968" s="129"/>
      <c r="EB968" s="129"/>
      <c r="EC968" s="132"/>
      <c r="ED968" s="129"/>
      <c r="EE968" s="129"/>
      <c r="EF968" s="132"/>
      <c r="EG968" s="129"/>
      <c r="EH968" s="129"/>
      <c r="EI968" s="132"/>
      <c r="EJ968" s="129"/>
      <c r="EK968" s="129"/>
      <c r="EL968" s="132"/>
      <c r="EM968" s="129"/>
      <c r="EN968" s="129"/>
      <c r="EO968" s="132"/>
      <c r="EP968" s="129"/>
      <c r="EQ968" s="129"/>
      <c r="ER968" s="132"/>
      <c r="ES968" s="129"/>
      <c r="ET968" s="129"/>
      <c r="EU968" s="132"/>
      <c r="EV968" s="129"/>
      <c r="EW968" s="129"/>
      <c r="EX968" s="132"/>
      <c r="EY968" s="129"/>
      <c r="EZ968" s="129"/>
      <c r="FA968" s="132"/>
      <c r="FB968" s="129"/>
      <c r="FC968" s="129"/>
      <c r="FD968" s="132"/>
      <c r="FE968" s="129"/>
      <c r="FF968" s="129"/>
      <c r="FG968" s="132"/>
      <c r="FH968" s="129"/>
      <c r="FI968" s="129"/>
      <c r="FJ968" s="132"/>
      <c r="FK968" s="129"/>
      <c r="FL968" s="129"/>
      <c r="FM968" s="132"/>
      <c r="FN968" s="129"/>
      <c r="FO968" s="129"/>
      <c r="FP968" s="132"/>
      <c r="FQ968" s="129"/>
      <c r="FR968" s="129"/>
      <c r="FS968" s="132"/>
      <c r="FT968" s="129"/>
      <c r="FU968" s="129"/>
      <c r="FV968" s="132"/>
      <c r="FW968" s="129"/>
      <c r="FX968" s="129"/>
      <c r="FY968" s="132"/>
      <c r="FZ968" s="129"/>
      <c r="GA968" s="129"/>
      <c r="GB968" s="132"/>
      <c r="GC968" s="129"/>
      <c r="GD968" s="129"/>
      <c r="GE968" s="132"/>
      <c r="GF968" s="129"/>
      <c r="GG968" s="129"/>
      <c r="GH968" s="132"/>
      <c r="GI968" s="129"/>
      <c r="GJ968" s="129"/>
      <c r="GK968" s="132"/>
      <c r="GL968" s="129"/>
      <c r="GM968" s="129"/>
      <c r="GN968" s="132"/>
      <c r="GO968" s="129"/>
      <c r="GP968" s="129"/>
      <c r="GQ968" s="132"/>
      <c r="GR968" s="129"/>
      <c r="GS968" s="129"/>
      <c r="GT968" s="132"/>
      <c r="GU968" s="129"/>
      <c r="GV968" s="129"/>
      <c r="GW968" s="132"/>
      <c r="GX968" s="129"/>
      <c r="GY968" s="129"/>
      <c r="GZ968" s="132"/>
      <c r="HA968" s="129"/>
      <c r="HB968" s="129"/>
      <c r="HC968" s="132"/>
      <c r="HD968" s="129"/>
      <c r="HE968" s="129"/>
      <c r="HF968" s="132"/>
      <c r="HG968" s="129"/>
      <c r="HH968" s="129"/>
      <c r="HI968" s="132"/>
      <c r="HJ968" s="129"/>
      <c r="HK968" s="129"/>
      <c r="HL968" s="132"/>
      <c r="HM968" s="129"/>
      <c r="HN968" s="129"/>
      <c r="HO968" s="132"/>
      <c r="HP968" s="129"/>
      <c r="HQ968" s="129"/>
      <c r="HR968" s="132"/>
      <c r="HS968" s="129"/>
      <c r="HT968" s="129"/>
      <c r="HU968" s="132"/>
      <c r="HV968" s="129"/>
      <c r="HW968" s="129"/>
      <c r="HX968" s="132"/>
      <c r="HY968" s="129"/>
      <c r="HZ968" s="129"/>
      <c r="IA968" s="132"/>
      <c r="IB968" s="129"/>
      <c r="IC968" s="129"/>
      <c r="ID968" s="132"/>
      <c r="IE968" s="129"/>
      <c r="IF968" s="129"/>
      <c r="IG968" s="132"/>
      <c r="IH968" s="129"/>
      <c r="II968" s="129"/>
      <c r="IJ968" s="132"/>
      <c r="IK968" s="129"/>
      <c r="IL968" s="129"/>
      <c r="IM968" s="132"/>
      <c r="IN968" s="129"/>
      <c r="IO968" s="129"/>
      <c r="IP968" s="132"/>
      <c r="IQ968" s="129"/>
      <c r="IR968" s="129"/>
      <c r="IS968" s="132"/>
      <c r="IT968" s="129"/>
      <c r="IU968" s="129"/>
      <c r="IV968" s="132"/>
    </row>
    <row r="969" spans="1:256" ht="15.75">
      <c r="A969" s="156"/>
      <c r="B969" s="118"/>
      <c r="C969" s="132"/>
      <c r="D969" s="129"/>
      <c r="E969" s="129"/>
      <c r="F969" s="130"/>
      <c r="G969" s="399"/>
      <c r="H969" s="120"/>
      <c r="I969" s="417"/>
      <c r="J969" s="120"/>
      <c r="K969" s="404"/>
      <c r="L969" s="120"/>
      <c r="M969" s="120"/>
      <c r="N969" s="120"/>
      <c r="O969" s="404"/>
      <c r="P969" s="127"/>
      <c r="Q969" s="159"/>
      <c r="R969" s="159"/>
      <c r="S969" s="156"/>
      <c r="T969" s="159"/>
      <c r="U969" s="159"/>
      <c r="V969" s="156"/>
      <c r="W969" s="159"/>
      <c r="X969" s="159"/>
      <c r="Y969" s="156"/>
      <c r="Z969" s="159"/>
      <c r="AA969" s="159"/>
      <c r="AB969" s="156"/>
      <c r="AC969" s="159"/>
      <c r="AD969" s="159"/>
      <c r="AE969" s="156"/>
      <c r="AF969" s="159"/>
      <c r="AG969" s="159"/>
      <c r="AH969" s="156"/>
      <c r="AI969" s="159"/>
      <c r="AJ969" s="159"/>
      <c r="AK969" s="156"/>
      <c r="AL969" s="159"/>
      <c r="AM969" s="159"/>
      <c r="AN969" s="156"/>
      <c r="AO969" s="159"/>
      <c r="AP969" s="159"/>
      <c r="AQ969" s="156"/>
      <c r="AR969" s="159"/>
      <c r="AS969" s="159"/>
      <c r="AT969" s="156"/>
      <c r="AU969" s="159"/>
      <c r="AV969" s="159"/>
      <c r="AW969" s="156"/>
      <c r="AX969" s="159"/>
      <c r="AY969" s="159"/>
      <c r="AZ969" s="156"/>
      <c r="BA969" s="159"/>
      <c r="BB969" s="159"/>
      <c r="BC969" s="156"/>
      <c r="BD969" s="159"/>
      <c r="BE969" s="159"/>
      <c r="BF969" s="156"/>
      <c r="BG969" s="159"/>
      <c r="BH969" s="159"/>
      <c r="BI969" s="156"/>
      <c r="BJ969" s="159"/>
      <c r="BK969" s="159"/>
      <c r="BL969" s="156"/>
      <c r="BM969" s="159"/>
      <c r="BN969" s="159"/>
      <c r="BO969" s="156"/>
      <c r="BP969" s="159"/>
      <c r="BQ969" s="159"/>
      <c r="BR969" s="156"/>
      <c r="BS969" s="159"/>
      <c r="BT969" s="159"/>
      <c r="BU969" s="156"/>
      <c r="BV969" s="159"/>
      <c r="BW969" s="159"/>
      <c r="BX969" s="156"/>
      <c r="BY969" s="159"/>
      <c r="BZ969" s="159"/>
      <c r="CA969" s="156"/>
      <c r="CB969" s="159"/>
      <c r="CC969" s="159"/>
      <c r="CD969" s="156"/>
      <c r="CE969" s="159"/>
      <c r="CF969" s="159"/>
      <c r="CG969" s="156"/>
      <c r="CH969" s="159"/>
      <c r="CI969" s="159"/>
      <c r="CJ969" s="156"/>
      <c r="CK969" s="159"/>
      <c r="CL969" s="159"/>
      <c r="CM969" s="156"/>
      <c r="CN969" s="159"/>
      <c r="CO969" s="159"/>
      <c r="CP969" s="156"/>
      <c r="CQ969" s="159"/>
      <c r="CR969" s="159"/>
      <c r="CS969" s="156"/>
      <c r="CT969" s="159"/>
      <c r="CU969" s="159"/>
      <c r="CV969" s="156"/>
      <c r="CW969" s="159"/>
      <c r="CX969" s="159"/>
      <c r="CY969" s="156"/>
      <c r="CZ969" s="159"/>
      <c r="DA969" s="159"/>
      <c r="DB969" s="156"/>
      <c r="DC969" s="159"/>
      <c r="DD969" s="159"/>
      <c r="DE969" s="156"/>
      <c r="DF969" s="159"/>
      <c r="DG969" s="159"/>
      <c r="DH969" s="156"/>
      <c r="DI969" s="159"/>
      <c r="DJ969" s="159"/>
      <c r="DK969" s="156"/>
      <c r="DL969" s="159"/>
      <c r="DM969" s="159"/>
      <c r="DN969" s="156"/>
      <c r="DO969" s="159"/>
      <c r="DP969" s="159"/>
      <c r="DQ969" s="156"/>
      <c r="DR969" s="159"/>
      <c r="DS969" s="159"/>
      <c r="DT969" s="156"/>
      <c r="DU969" s="159"/>
      <c r="DV969" s="159"/>
      <c r="DW969" s="156"/>
      <c r="DX969" s="159"/>
      <c r="DY969" s="159"/>
      <c r="DZ969" s="156"/>
      <c r="EA969" s="159"/>
      <c r="EB969" s="159"/>
      <c r="EC969" s="156"/>
      <c r="ED969" s="159"/>
      <c r="EE969" s="159"/>
      <c r="EF969" s="156"/>
      <c r="EG969" s="159"/>
      <c r="EH969" s="159"/>
      <c r="EI969" s="156"/>
      <c r="EJ969" s="159"/>
      <c r="EK969" s="159"/>
      <c r="EL969" s="156"/>
      <c r="EM969" s="159"/>
      <c r="EN969" s="159"/>
      <c r="EO969" s="156"/>
      <c r="EP969" s="159"/>
      <c r="EQ969" s="159"/>
      <c r="ER969" s="156"/>
      <c r="ES969" s="159"/>
      <c r="ET969" s="159"/>
      <c r="EU969" s="156"/>
      <c r="EV969" s="159"/>
      <c r="EW969" s="159"/>
      <c r="EX969" s="156"/>
      <c r="EY969" s="159"/>
      <c r="EZ969" s="159"/>
      <c r="FA969" s="156"/>
      <c r="FB969" s="159"/>
      <c r="FC969" s="159"/>
      <c r="FD969" s="156"/>
      <c r="FE969" s="159"/>
      <c r="FF969" s="159"/>
      <c r="FG969" s="156"/>
      <c r="FH969" s="159"/>
      <c r="FI969" s="159"/>
      <c r="FJ969" s="156"/>
      <c r="FK969" s="159"/>
      <c r="FL969" s="159"/>
      <c r="FM969" s="156"/>
      <c r="FN969" s="159"/>
      <c r="FO969" s="159"/>
      <c r="FP969" s="156"/>
      <c r="FQ969" s="159"/>
      <c r="FR969" s="159"/>
      <c r="FS969" s="156"/>
      <c r="FT969" s="159"/>
      <c r="FU969" s="159"/>
      <c r="FV969" s="156"/>
      <c r="FW969" s="159"/>
      <c r="FX969" s="159"/>
      <c r="FY969" s="156"/>
      <c r="FZ969" s="159"/>
      <c r="GA969" s="159"/>
      <c r="GB969" s="156"/>
      <c r="GC969" s="159"/>
      <c r="GD969" s="159"/>
      <c r="GE969" s="156"/>
      <c r="GF969" s="159"/>
      <c r="GG969" s="159"/>
      <c r="GH969" s="156"/>
      <c r="GI969" s="159"/>
      <c r="GJ969" s="159"/>
      <c r="GK969" s="156"/>
      <c r="GL969" s="159"/>
      <c r="GM969" s="159"/>
      <c r="GN969" s="156"/>
      <c r="GO969" s="159"/>
      <c r="GP969" s="159"/>
      <c r="GQ969" s="156"/>
      <c r="GR969" s="159"/>
      <c r="GS969" s="159"/>
      <c r="GT969" s="156"/>
      <c r="GU969" s="159"/>
      <c r="GV969" s="159"/>
      <c r="GW969" s="156"/>
      <c r="GX969" s="159"/>
      <c r="GY969" s="159"/>
      <c r="GZ969" s="156"/>
      <c r="HA969" s="159"/>
      <c r="HB969" s="159"/>
      <c r="HC969" s="156"/>
      <c r="HD969" s="159"/>
      <c r="HE969" s="159"/>
      <c r="HF969" s="156"/>
      <c r="HG969" s="159"/>
      <c r="HH969" s="159"/>
      <c r="HI969" s="156"/>
      <c r="HJ969" s="159"/>
      <c r="HK969" s="159"/>
      <c r="HL969" s="156"/>
      <c r="HM969" s="159"/>
      <c r="HN969" s="159"/>
      <c r="HO969" s="156"/>
      <c r="HP969" s="159"/>
      <c r="HQ969" s="159"/>
      <c r="HR969" s="156"/>
      <c r="HS969" s="159"/>
      <c r="HT969" s="159"/>
      <c r="HU969" s="156"/>
      <c r="HV969" s="159"/>
      <c r="HW969" s="159"/>
      <c r="HX969" s="156"/>
      <c r="HY969" s="159"/>
      <c r="HZ969" s="159"/>
      <c r="IA969" s="156"/>
      <c r="IB969" s="159"/>
      <c r="IC969" s="159"/>
      <c r="ID969" s="156"/>
      <c r="IE969" s="159"/>
      <c r="IF969" s="159"/>
      <c r="IG969" s="156"/>
      <c r="IH969" s="159"/>
      <c r="II969" s="159"/>
      <c r="IJ969" s="156"/>
      <c r="IK969" s="159"/>
      <c r="IL969" s="159"/>
      <c r="IM969" s="156"/>
      <c r="IN969" s="159"/>
      <c r="IO969" s="159"/>
      <c r="IP969" s="156"/>
      <c r="IQ969" s="159"/>
      <c r="IR969" s="159"/>
      <c r="IS969" s="156"/>
      <c r="IT969" s="159"/>
      <c r="IU969" s="159"/>
      <c r="IV969" s="156"/>
    </row>
    <row r="970" spans="1:256" ht="15.75">
      <c r="A970" s="132"/>
      <c r="B970" s="118" t="s">
        <v>803</v>
      </c>
      <c r="C970" s="132" t="s">
        <v>801</v>
      </c>
      <c r="D970" s="129"/>
      <c r="E970" s="129"/>
      <c r="F970" s="130"/>
      <c r="G970" s="399" t="s">
        <v>663</v>
      </c>
      <c r="H970" s="120">
        <v>53.18</v>
      </c>
      <c r="I970" s="417">
        <v>480</v>
      </c>
      <c r="J970" s="120">
        <v>331.2</v>
      </c>
      <c r="K970" s="404"/>
      <c r="L970" s="120">
        <f>J970+K970</f>
        <v>331.2</v>
      </c>
      <c r="M970" s="120">
        <f t="shared" ref="M970:M980" si="317">H970*I970</f>
        <v>25526.400000000001</v>
      </c>
      <c r="N970" s="120">
        <f t="shared" ref="N970:N1025" si="318">H970*J970</f>
        <v>17613.216</v>
      </c>
      <c r="O970" s="404">
        <f t="shared" ref="O970:O975" si="319">H970*K970</f>
        <v>0</v>
      </c>
      <c r="P970" s="127">
        <f>H970*L970</f>
        <v>17613.216</v>
      </c>
      <c r="Q970" s="129"/>
      <c r="R970" s="129"/>
      <c r="S970" s="132"/>
      <c r="T970" s="129"/>
      <c r="U970" s="129"/>
      <c r="V970" s="132"/>
      <c r="W970" s="129"/>
      <c r="X970" s="129"/>
      <c r="Y970" s="132"/>
      <c r="Z970" s="129"/>
      <c r="AA970" s="129"/>
      <c r="AB970" s="132"/>
      <c r="AC970" s="129"/>
      <c r="AD970" s="129"/>
      <c r="AE970" s="132"/>
      <c r="AF970" s="129"/>
      <c r="AG970" s="129"/>
      <c r="AH970" s="132"/>
      <c r="AI970" s="129"/>
      <c r="AJ970" s="129"/>
      <c r="AK970" s="132"/>
      <c r="AL970" s="129"/>
      <c r="AM970" s="129"/>
      <c r="AN970" s="132"/>
      <c r="AO970" s="129"/>
      <c r="AP970" s="129"/>
      <c r="AQ970" s="132"/>
      <c r="AR970" s="129"/>
      <c r="AS970" s="129"/>
      <c r="AT970" s="132"/>
      <c r="AU970" s="129"/>
      <c r="AV970" s="129"/>
      <c r="AW970" s="132"/>
      <c r="AX970" s="129"/>
      <c r="AY970" s="129"/>
      <c r="AZ970" s="132"/>
      <c r="BA970" s="129"/>
      <c r="BB970" s="129"/>
      <c r="BC970" s="132"/>
      <c r="BD970" s="129"/>
      <c r="BE970" s="129"/>
      <c r="BF970" s="132"/>
      <c r="BG970" s="129"/>
      <c r="BH970" s="129"/>
      <c r="BI970" s="132"/>
      <c r="BJ970" s="129"/>
      <c r="BK970" s="129"/>
      <c r="BL970" s="132"/>
      <c r="BM970" s="129"/>
      <c r="BN970" s="129"/>
      <c r="BO970" s="132"/>
      <c r="BP970" s="129"/>
      <c r="BQ970" s="129"/>
      <c r="BR970" s="132"/>
      <c r="BS970" s="129"/>
      <c r="BT970" s="129"/>
      <c r="BU970" s="132"/>
      <c r="BV970" s="129"/>
      <c r="BW970" s="129"/>
      <c r="BX970" s="132"/>
      <c r="BY970" s="129"/>
      <c r="BZ970" s="129"/>
      <c r="CA970" s="132"/>
      <c r="CB970" s="129"/>
      <c r="CC970" s="129"/>
      <c r="CD970" s="132"/>
      <c r="CE970" s="129"/>
      <c r="CF970" s="129"/>
      <c r="CG970" s="132"/>
      <c r="CH970" s="129"/>
      <c r="CI970" s="129"/>
      <c r="CJ970" s="132"/>
      <c r="CK970" s="129"/>
      <c r="CL970" s="129"/>
      <c r="CM970" s="132"/>
      <c r="CN970" s="129"/>
      <c r="CO970" s="129"/>
      <c r="CP970" s="132"/>
      <c r="CQ970" s="129"/>
      <c r="CR970" s="129"/>
      <c r="CS970" s="132"/>
      <c r="CT970" s="129"/>
      <c r="CU970" s="129"/>
      <c r="CV970" s="132"/>
      <c r="CW970" s="129"/>
      <c r="CX970" s="129"/>
      <c r="CY970" s="132"/>
      <c r="CZ970" s="129"/>
      <c r="DA970" s="129"/>
      <c r="DB970" s="132"/>
      <c r="DC970" s="129"/>
      <c r="DD970" s="129"/>
      <c r="DE970" s="132"/>
      <c r="DF970" s="129"/>
      <c r="DG970" s="129"/>
      <c r="DH970" s="132"/>
      <c r="DI970" s="129"/>
      <c r="DJ970" s="129"/>
      <c r="DK970" s="132"/>
      <c r="DL970" s="129"/>
      <c r="DM970" s="129"/>
      <c r="DN970" s="132"/>
      <c r="DO970" s="129"/>
      <c r="DP970" s="129"/>
      <c r="DQ970" s="132"/>
      <c r="DR970" s="129"/>
      <c r="DS970" s="129"/>
      <c r="DT970" s="132"/>
      <c r="DU970" s="129"/>
      <c r="DV970" s="129"/>
      <c r="DW970" s="132"/>
      <c r="DX970" s="129"/>
      <c r="DY970" s="129"/>
      <c r="DZ970" s="132"/>
      <c r="EA970" s="129"/>
      <c r="EB970" s="129"/>
      <c r="EC970" s="132"/>
      <c r="ED970" s="129"/>
      <c r="EE970" s="129"/>
      <c r="EF970" s="132"/>
      <c r="EG970" s="129"/>
      <c r="EH970" s="129"/>
      <c r="EI970" s="132"/>
      <c r="EJ970" s="129"/>
      <c r="EK970" s="129"/>
      <c r="EL970" s="132"/>
      <c r="EM970" s="129"/>
      <c r="EN970" s="129"/>
      <c r="EO970" s="132"/>
      <c r="EP970" s="129"/>
      <c r="EQ970" s="129"/>
      <c r="ER970" s="132"/>
      <c r="ES970" s="129"/>
      <c r="ET970" s="129"/>
      <c r="EU970" s="132"/>
      <c r="EV970" s="129"/>
      <c r="EW970" s="129"/>
      <c r="EX970" s="132"/>
      <c r="EY970" s="129"/>
      <c r="EZ970" s="129"/>
      <c r="FA970" s="132"/>
      <c r="FB970" s="129"/>
      <c r="FC970" s="129"/>
      <c r="FD970" s="132"/>
      <c r="FE970" s="129"/>
      <c r="FF970" s="129"/>
      <c r="FG970" s="132"/>
      <c r="FH970" s="129"/>
      <c r="FI970" s="129"/>
      <c r="FJ970" s="132"/>
      <c r="FK970" s="129"/>
      <c r="FL970" s="129"/>
      <c r="FM970" s="132"/>
      <c r="FN970" s="129"/>
      <c r="FO970" s="129"/>
      <c r="FP970" s="132"/>
      <c r="FQ970" s="129"/>
      <c r="FR970" s="129"/>
      <c r="FS970" s="132"/>
      <c r="FT970" s="129"/>
      <c r="FU970" s="129"/>
      <c r="FV970" s="132"/>
      <c r="FW970" s="129"/>
      <c r="FX970" s="129"/>
      <c r="FY970" s="132"/>
      <c r="FZ970" s="129"/>
      <c r="GA970" s="129"/>
      <c r="GB970" s="132"/>
      <c r="GC970" s="129"/>
      <c r="GD970" s="129"/>
      <c r="GE970" s="132"/>
      <c r="GF970" s="129"/>
      <c r="GG970" s="129"/>
      <c r="GH970" s="132"/>
      <c r="GI970" s="129"/>
      <c r="GJ970" s="129"/>
      <c r="GK970" s="132"/>
      <c r="GL970" s="129"/>
      <c r="GM970" s="129"/>
      <c r="GN970" s="132"/>
      <c r="GO970" s="129"/>
      <c r="GP970" s="129"/>
      <c r="GQ970" s="132"/>
      <c r="GR970" s="129"/>
      <c r="GS970" s="129"/>
      <c r="GT970" s="132"/>
      <c r="GU970" s="129"/>
      <c r="GV970" s="129"/>
      <c r="GW970" s="132"/>
      <c r="GX970" s="129"/>
      <c r="GY970" s="129"/>
      <c r="GZ970" s="132"/>
      <c r="HA970" s="129"/>
      <c r="HB970" s="129"/>
      <c r="HC970" s="132"/>
      <c r="HD970" s="129"/>
      <c r="HE970" s="129"/>
      <c r="HF970" s="132"/>
      <c r="HG970" s="129"/>
      <c r="HH970" s="129"/>
      <c r="HI970" s="132"/>
      <c r="HJ970" s="129"/>
      <c r="HK970" s="129"/>
      <c r="HL970" s="132"/>
      <c r="HM970" s="129"/>
      <c r="HN970" s="129"/>
      <c r="HO970" s="132"/>
      <c r="HP970" s="129"/>
      <c r="HQ970" s="129"/>
      <c r="HR970" s="132"/>
      <c r="HS970" s="129"/>
      <c r="HT970" s="129"/>
      <c r="HU970" s="132"/>
      <c r="HV970" s="129"/>
      <c r="HW970" s="129"/>
      <c r="HX970" s="132"/>
      <c r="HY970" s="129"/>
      <c r="HZ970" s="129"/>
      <c r="IA970" s="132"/>
      <c r="IB970" s="129"/>
      <c r="IC970" s="129"/>
      <c r="ID970" s="132"/>
      <c r="IE970" s="129"/>
      <c r="IF970" s="129"/>
      <c r="IG970" s="132"/>
      <c r="IH970" s="129"/>
      <c r="II970" s="129"/>
      <c r="IJ970" s="132"/>
      <c r="IK970" s="129"/>
      <c r="IL970" s="129"/>
      <c r="IM970" s="132"/>
      <c r="IN970" s="129"/>
      <c r="IO970" s="129"/>
      <c r="IP970" s="132"/>
      <c r="IQ970" s="129"/>
      <c r="IR970" s="129"/>
      <c r="IS970" s="132"/>
      <c r="IT970" s="129"/>
      <c r="IU970" s="129"/>
      <c r="IV970" s="132"/>
    </row>
    <row r="971" spans="1:256" ht="15.75">
      <c r="A971" s="132"/>
      <c r="B971" s="147"/>
      <c r="C971" s="132"/>
      <c r="D971" s="129"/>
      <c r="E971" s="129"/>
      <c r="F971" s="130"/>
      <c r="G971" s="399"/>
      <c r="H971" s="120"/>
      <c r="I971" s="417"/>
      <c r="J971" s="120"/>
      <c r="K971" s="404"/>
      <c r="L971" s="120">
        <f>J971+K971</f>
        <v>0</v>
      </c>
      <c r="M971" s="120">
        <f t="shared" si="317"/>
        <v>0</v>
      </c>
      <c r="N971" s="120">
        <f t="shared" si="318"/>
        <v>0</v>
      </c>
      <c r="O971" s="404">
        <f t="shared" si="319"/>
        <v>0</v>
      </c>
      <c r="P971" s="127">
        <f>H971*L971</f>
        <v>0</v>
      </c>
      <c r="Q971" s="129"/>
      <c r="R971" s="129"/>
      <c r="S971" s="132"/>
      <c r="T971" s="129"/>
      <c r="U971" s="129"/>
      <c r="V971" s="132"/>
      <c r="W971" s="129"/>
      <c r="X971" s="129"/>
      <c r="Y971" s="132"/>
      <c r="Z971" s="129"/>
      <c r="AA971" s="129"/>
      <c r="AB971" s="132"/>
      <c r="AC971" s="129"/>
      <c r="AD971" s="129"/>
      <c r="AE971" s="132"/>
      <c r="AF971" s="129"/>
      <c r="AG971" s="129"/>
      <c r="AH971" s="132"/>
      <c r="AI971" s="129"/>
      <c r="AJ971" s="129"/>
      <c r="AK971" s="132"/>
      <c r="AL971" s="129"/>
      <c r="AM971" s="129"/>
      <c r="AN971" s="132"/>
      <c r="AO971" s="129"/>
      <c r="AP971" s="129"/>
      <c r="AQ971" s="132"/>
      <c r="AR971" s="129"/>
      <c r="AS971" s="129"/>
      <c r="AT971" s="132"/>
      <c r="AU971" s="129"/>
      <c r="AV971" s="129"/>
      <c r="AW971" s="132"/>
      <c r="AX971" s="129"/>
      <c r="AY971" s="129"/>
      <c r="AZ971" s="132"/>
      <c r="BA971" s="129"/>
      <c r="BB971" s="129"/>
      <c r="BC971" s="132"/>
      <c r="BD971" s="129"/>
      <c r="BE971" s="129"/>
      <c r="BF971" s="132"/>
      <c r="BG971" s="129"/>
      <c r="BH971" s="129"/>
      <c r="BI971" s="132"/>
      <c r="BJ971" s="129"/>
      <c r="BK971" s="129"/>
      <c r="BL971" s="132"/>
      <c r="BM971" s="129"/>
      <c r="BN971" s="129"/>
      <c r="BO971" s="132"/>
      <c r="BP971" s="129"/>
      <c r="BQ971" s="129"/>
      <c r="BR971" s="132"/>
      <c r="BS971" s="129"/>
      <c r="BT971" s="129"/>
      <c r="BU971" s="132"/>
      <c r="BV971" s="129"/>
      <c r="BW971" s="129"/>
      <c r="BX971" s="132"/>
      <c r="BY971" s="129"/>
      <c r="BZ971" s="129"/>
      <c r="CA971" s="132"/>
      <c r="CB971" s="129"/>
      <c r="CC971" s="129"/>
      <c r="CD971" s="132"/>
      <c r="CE971" s="129"/>
      <c r="CF971" s="129"/>
      <c r="CG971" s="132"/>
      <c r="CH971" s="129"/>
      <c r="CI971" s="129"/>
      <c r="CJ971" s="132"/>
      <c r="CK971" s="129"/>
      <c r="CL971" s="129"/>
      <c r="CM971" s="132"/>
      <c r="CN971" s="129"/>
      <c r="CO971" s="129"/>
      <c r="CP971" s="132"/>
      <c r="CQ971" s="129"/>
      <c r="CR971" s="129"/>
      <c r="CS971" s="132"/>
      <c r="CT971" s="129"/>
      <c r="CU971" s="129"/>
      <c r="CV971" s="132"/>
      <c r="CW971" s="129"/>
      <c r="CX971" s="129"/>
      <c r="CY971" s="132"/>
      <c r="CZ971" s="129"/>
      <c r="DA971" s="129"/>
      <c r="DB971" s="132"/>
      <c r="DC971" s="129"/>
      <c r="DD971" s="129"/>
      <c r="DE971" s="132"/>
      <c r="DF971" s="129"/>
      <c r="DG971" s="129"/>
      <c r="DH971" s="132"/>
      <c r="DI971" s="129"/>
      <c r="DJ971" s="129"/>
      <c r="DK971" s="132"/>
      <c r="DL971" s="129"/>
      <c r="DM971" s="129"/>
      <c r="DN971" s="132"/>
      <c r="DO971" s="129"/>
      <c r="DP971" s="129"/>
      <c r="DQ971" s="132"/>
      <c r="DR971" s="129"/>
      <c r="DS971" s="129"/>
      <c r="DT971" s="132"/>
      <c r="DU971" s="129"/>
      <c r="DV971" s="129"/>
      <c r="DW971" s="132"/>
      <c r="DX971" s="129"/>
      <c r="DY971" s="129"/>
      <c r="DZ971" s="132"/>
      <c r="EA971" s="129"/>
      <c r="EB971" s="129"/>
      <c r="EC971" s="132"/>
      <c r="ED971" s="129"/>
      <c r="EE971" s="129"/>
      <c r="EF971" s="132"/>
      <c r="EG971" s="129"/>
      <c r="EH971" s="129"/>
      <c r="EI971" s="132"/>
      <c r="EJ971" s="129"/>
      <c r="EK971" s="129"/>
      <c r="EL971" s="132"/>
      <c r="EM971" s="129"/>
      <c r="EN971" s="129"/>
      <c r="EO971" s="132"/>
      <c r="EP971" s="129"/>
      <c r="EQ971" s="129"/>
      <c r="ER971" s="132"/>
      <c r="ES971" s="129"/>
      <c r="ET971" s="129"/>
      <c r="EU971" s="132"/>
      <c r="EV971" s="129"/>
      <c r="EW971" s="129"/>
      <c r="EX971" s="132"/>
      <c r="EY971" s="129"/>
      <c r="EZ971" s="129"/>
      <c r="FA971" s="132"/>
      <c r="FB971" s="129"/>
      <c r="FC971" s="129"/>
      <c r="FD971" s="132"/>
      <c r="FE971" s="129"/>
      <c r="FF971" s="129"/>
      <c r="FG971" s="132"/>
      <c r="FH971" s="129"/>
      <c r="FI971" s="129"/>
      <c r="FJ971" s="132"/>
      <c r="FK971" s="129"/>
      <c r="FL971" s="129"/>
      <c r="FM971" s="132"/>
      <c r="FN971" s="129"/>
      <c r="FO971" s="129"/>
      <c r="FP971" s="132"/>
      <c r="FQ971" s="129"/>
      <c r="FR971" s="129"/>
      <c r="FS971" s="132"/>
      <c r="FT971" s="129"/>
      <c r="FU971" s="129"/>
      <c r="FV971" s="132"/>
      <c r="FW971" s="129"/>
      <c r="FX971" s="129"/>
      <c r="FY971" s="132"/>
      <c r="FZ971" s="129"/>
      <c r="GA971" s="129"/>
      <c r="GB971" s="132"/>
      <c r="GC971" s="129"/>
      <c r="GD971" s="129"/>
      <c r="GE971" s="132"/>
      <c r="GF971" s="129"/>
      <c r="GG971" s="129"/>
      <c r="GH971" s="132"/>
      <c r="GI971" s="129"/>
      <c r="GJ971" s="129"/>
      <c r="GK971" s="132"/>
      <c r="GL971" s="129"/>
      <c r="GM971" s="129"/>
      <c r="GN971" s="132"/>
      <c r="GO971" s="129"/>
      <c r="GP971" s="129"/>
      <c r="GQ971" s="132"/>
      <c r="GR971" s="129"/>
      <c r="GS971" s="129"/>
      <c r="GT971" s="132"/>
      <c r="GU971" s="129"/>
      <c r="GV971" s="129"/>
      <c r="GW971" s="132"/>
      <c r="GX971" s="129"/>
      <c r="GY971" s="129"/>
      <c r="GZ971" s="132"/>
      <c r="HA971" s="129"/>
      <c r="HB971" s="129"/>
      <c r="HC971" s="132"/>
      <c r="HD971" s="129"/>
      <c r="HE971" s="129"/>
      <c r="HF971" s="132"/>
      <c r="HG971" s="129"/>
      <c r="HH971" s="129"/>
      <c r="HI971" s="132"/>
      <c r="HJ971" s="129"/>
      <c r="HK971" s="129"/>
      <c r="HL971" s="132"/>
      <c r="HM971" s="129"/>
      <c r="HN971" s="129"/>
      <c r="HO971" s="132"/>
      <c r="HP971" s="129"/>
      <c r="HQ971" s="129"/>
      <c r="HR971" s="132"/>
      <c r="HS971" s="129"/>
      <c r="HT971" s="129"/>
      <c r="HU971" s="132"/>
      <c r="HV971" s="129"/>
      <c r="HW971" s="129"/>
      <c r="HX971" s="132"/>
      <c r="HY971" s="129"/>
      <c r="HZ971" s="129"/>
      <c r="IA971" s="132"/>
      <c r="IB971" s="129"/>
      <c r="IC971" s="129"/>
      <c r="ID971" s="132"/>
      <c r="IE971" s="129"/>
      <c r="IF971" s="129"/>
      <c r="IG971" s="132"/>
      <c r="IH971" s="129"/>
      <c r="II971" s="129"/>
      <c r="IJ971" s="132"/>
      <c r="IK971" s="129"/>
      <c r="IL971" s="129"/>
      <c r="IM971" s="132"/>
      <c r="IN971" s="129"/>
      <c r="IO971" s="129"/>
      <c r="IP971" s="132"/>
      <c r="IQ971" s="129"/>
      <c r="IR971" s="129"/>
      <c r="IS971" s="132"/>
      <c r="IT971" s="129"/>
      <c r="IU971" s="129"/>
      <c r="IV971" s="132"/>
    </row>
    <row r="972" spans="1:256" ht="15.75">
      <c r="A972" s="156"/>
      <c r="B972" s="118"/>
      <c r="C972" s="132"/>
      <c r="D972" s="129"/>
      <c r="E972" s="129"/>
      <c r="F972" s="130"/>
      <c r="G972" s="399"/>
      <c r="H972" s="120"/>
      <c r="I972" s="417"/>
      <c r="J972" s="120"/>
      <c r="K972" s="404"/>
      <c r="L972" s="120">
        <f>J972+K972</f>
        <v>0</v>
      </c>
      <c r="M972" s="120">
        <f t="shared" si="317"/>
        <v>0</v>
      </c>
      <c r="N972" s="120">
        <f t="shared" si="318"/>
        <v>0</v>
      </c>
      <c r="O972" s="404">
        <f t="shared" si="319"/>
        <v>0</v>
      </c>
      <c r="P972" s="127">
        <f>H972*L972</f>
        <v>0</v>
      </c>
      <c r="Q972" s="159"/>
      <c r="R972" s="159"/>
      <c r="S972" s="156"/>
      <c r="T972" s="159"/>
      <c r="U972" s="159"/>
      <c r="V972" s="156"/>
      <c r="W972" s="159"/>
      <c r="X972" s="159"/>
      <c r="Y972" s="156"/>
      <c r="Z972" s="159"/>
      <c r="AA972" s="159"/>
      <c r="AB972" s="156"/>
      <c r="AC972" s="159"/>
      <c r="AD972" s="159"/>
      <c r="AE972" s="156"/>
      <c r="AF972" s="159"/>
      <c r="AG972" s="159"/>
      <c r="AH972" s="156"/>
      <c r="AI972" s="159"/>
      <c r="AJ972" s="159"/>
      <c r="AK972" s="156"/>
      <c r="AL972" s="159"/>
      <c r="AM972" s="159"/>
      <c r="AN972" s="156"/>
      <c r="AO972" s="159"/>
      <c r="AP972" s="159"/>
      <c r="AQ972" s="156"/>
      <c r="AR972" s="159"/>
      <c r="AS972" s="159"/>
      <c r="AT972" s="156"/>
      <c r="AU972" s="159"/>
      <c r="AV972" s="159"/>
      <c r="AW972" s="156"/>
      <c r="AX972" s="159"/>
      <c r="AY972" s="159"/>
      <c r="AZ972" s="156"/>
      <c r="BA972" s="159"/>
      <c r="BB972" s="159"/>
      <c r="BC972" s="156"/>
      <c r="BD972" s="159"/>
      <c r="BE972" s="159"/>
      <c r="BF972" s="156"/>
      <c r="BG972" s="159"/>
      <c r="BH972" s="159"/>
      <c r="BI972" s="156"/>
      <c r="BJ972" s="159"/>
      <c r="BK972" s="159"/>
      <c r="BL972" s="156"/>
      <c r="BM972" s="159"/>
      <c r="BN972" s="159"/>
      <c r="BO972" s="156"/>
      <c r="BP972" s="159"/>
      <c r="BQ972" s="159"/>
      <c r="BR972" s="156"/>
      <c r="BS972" s="159"/>
      <c r="BT972" s="159"/>
      <c r="BU972" s="156"/>
      <c r="BV972" s="159"/>
      <c r="BW972" s="159"/>
      <c r="BX972" s="156"/>
      <c r="BY972" s="159"/>
      <c r="BZ972" s="159"/>
      <c r="CA972" s="156"/>
      <c r="CB972" s="159"/>
      <c r="CC972" s="159"/>
      <c r="CD972" s="156"/>
      <c r="CE972" s="159"/>
      <c r="CF972" s="159"/>
      <c r="CG972" s="156"/>
      <c r="CH972" s="159"/>
      <c r="CI972" s="159"/>
      <c r="CJ972" s="156"/>
      <c r="CK972" s="159"/>
      <c r="CL972" s="159"/>
      <c r="CM972" s="156"/>
      <c r="CN972" s="159"/>
      <c r="CO972" s="159"/>
      <c r="CP972" s="156"/>
      <c r="CQ972" s="159"/>
      <c r="CR972" s="159"/>
      <c r="CS972" s="156"/>
      <c r="CT972" s="159"/>
      <c r="CU972" s="159"/>
      <c r="CV972" s="156"/>
      <c r="CW972" s="159"/>
      <c r="CX972" s="159"/>
      <c r="CY972" s="156"/>
      <c r="CZ972" s="159"/>
      <c r="DA972" s="159"/>
      <c r="DB972" s="156"/>
      <c r="DC972" s="159"/>
      <c r="DD972" s="159"/>
      <c r="DE972" s="156"/>
      <c r="DF972" s="159"/>
      <c r="DG972" s="159"/>
      <c r="DH972" s="156"/>
      <c r="DI972" s="159"/>
      <c r="DJ972" s="159"/>
      <c r="DK972" s="156"/>
      <c r="DL972" s="159"/>
      <c r="DM972" s="159"/>
      <c r="DN972" s="156"/>
      <c r="DO972" s="159"/>
      <c r="DP972" s="159"/>
      <c r="DQ972" s="156"/>
      <c r="DR972" s="159"/>
      <c r="DS972" s="159"/>
      <c r="DT972" s="156"/>
      <c r="DU972" s="159"/>
      <c r="DV972" s="159"/>
      <c r="DW972" s="156"/>
      <c r="DX972" s="159"/>
      <c r="DY972" s="159"/>
      <c r="DZ972" s="156"/>
      <c r="EA972" s="159"/>
      <c r="EB972" s="159"/>
      <c r="EC972" s="156"/>
      <c r="ED972" s="159"/>
      <c r="EE972" s="159"/>
      <c r="EF972" s="156"/>
      <c r="EG972" s="159"/>
      <c r="EH972" s="159"/>
      <c r="EI972" s="156"/>
      <c r="EJ972" s="159"/>
      <c r="EK972" s="159"/>
      <c r="EL972" s="156"/>
      <c r="EM972" s="159"/>
      <c r="EN972" s="159"/>
      <c r="EO972" s="156"/>
      <c r="EP972" s="159"/>
      <c r="EQ972" s="159"/>
      <c r="ER972" s="156"/>
      <c r="ES972" s="159"/>
      <c r="ET972" s="159"/>
      <c r="EU972" s="156"/>
      <c r="EV972" s="159"/>
      <c r="EW972" s="159"/>
      <c r="EX972" s="156"/>
      <c r="EY972" s="159"/>
      <c r="EZ972" s="159"/>
      <c r="FA972" s="156"/>
      <c r="FB972" s="159"/>
      <c r="FC972" s="159"/>
      <c r="FD972" s="156"/>
      <c r="FE972" s="159"/>
      <c r="FF972" s="159"/>
      <c r="FG972" s="156"/>
      <c r="FH972" s="159"/>
      <c r="FI972" s="159"/>
      <c r="FJ972" s="156"/>
      <c r="FK972" s="159"/>
      <c r="FL972" s="159"/>
      <c r="FM972" s="156"/>
      <c r="FN972" s="159"/>
      <c r="FO972" s="159"/>
      <c r="FP972" s="156"/>
      <c r="FQ972" s="159"/>
      <c r="FR972" s="159"/>
      <c r="FS972" s="156"/>
      <c r="FT972" s="159"/>
      <c r="FU972" s="159"/>
      <c r="FV972" s="156"/>
      <c r="FW972" s="159"/>
      <c r="FX972" s="159"/>
      <c r="FY972" s="156"/>
      <c r="FZ972" s="159"/>
      <c r="GA972" s="159"/>
      <c r="GB972" s="156"/>
      <c r="GC972" s="159"/>
      <c r="GD972" s="159"/>
      <c r="GE972" s="156"/>
      <c r="GF972" s="159"/>
      <c r="GG972" s="159"/>
      <c r="GH972" s="156"/>
      <c r="GI972" s="159"/>
      <c r="GJ972" s="159"/>
      <c r="GK972" s="156"/>
      <c r="GL972" s="159"/>
      <c r="GM972" s="159"/>
      <c r="GN972" s="156"/>
      <c r="GO972" s="159"/>
      <c r="GP972" s="159"/>
      <c r="GQ972" s="156"/>
      <c r="GR972" s="159"/>
      <c r="GS972" s="159"/>
      <c r="GT972" s="156"/>
      <c r="GU972" s="159"/>
      <c r="GV972" s="159"/>
      <c r="GW972" s="156"/>
      <c r="GX972" s="159"/>
      <c r="GY972" s="159"/>
      <c r="GZ972" s="156"/>
      <c r="HA972" s="159"/>
      <c r="HB972" s="159"/>
      <c r="HC972" s="156"/>
      <c r="HD972" s="159"/>
      <c r="HE972" s="159"/>
      <c r="HF972" s="156"/>
      <c r="HG972" s="159"/>
      <c r="HH972" s="159"/>
      <c r="HI972" s="156"/>
      <c r="HJ972" s="159"/>
      <c r="HK972" s="159"/>
      <c r="HL972" s="156"/>
      <c r="HM972" s="159"/>
      <c r="HN972" s="159"/>
      <c r="HO972" s="156"/>
      <c r="HP972" s="159"/>
      <c r="HQ972" s="159"/>
      <c r="HR972" s="156"/>
      <c r="HS972" s="159"/>
      <c r="HT972" s="159"/>
      <c r="HU972" s="156"/>
      <c r="HV972" s="159"/>
      <c r="HW972" s="159"/>
      <c r="HX972" s="156"/>
      <c r="HY972" s="159"/>
      <c r="HZ972" s="159"/>
      <c r="IA972" s="156"/>
      <c r="IB972" s="159"/>
      <c r="IC972" s="159"/>
      <c r="ID972" s="156"/>
      <c r="IE972" s="159"/>
      <c r="IF972" s="159"/>
      <c r="IG972" s="156"/>
      <c r="IH972" s="159"/>
      <c r="II972" s="159"/>
      <c r="IJ972" s="156"/>
      <c r="IK972" s="159"/>
      <c r="IL972" s="159"/>
      <c r="IM972" s="156"/>
      <c r="IN972" s="159"/>
      <c r="IO972" s="159"/>
      <c r="IP972" s="156"/>
      <c r="IQ972" s="159"/>
      <c r="IR972" s="159"/>
      <c r="IS972" s="156"/>
      <c r="IT972" s="159"/>
      <c r="IU972" s="159"/>
      <c r="IV972" s="156"/>
    </row>
    <row r="973" spans="1:256" ht="15.75">
      <c r="A973" s="132"/>
      <c r="B973" s="118" t="s">
        <v>805</v>
      </c>
      <c r="C973" s="132" t="s">
        <v>804</v>
      </c>
      <c r="D973" s="129"/>
      <c r="E973" s="129"/>
      <c r="F973" s="130"/>
      <c r="G973" s="399" t="s">
        <v>663</v>
      </c>
      <c r="H973" s="120">
        <v>161.86000000000001</v>
      </c>
      <c r="I973" s="417">
        <v>180</v>
      </c>
      <c r="J973" s="120">
        <v>124.80000000000001</v>
      </c>
      <c r="K973" s="404"/>
      <c r="L973" s="120">
        <f>J973+K973</f>
        <v>124.80000000000001</v>
      </c>
      <c r="M973" s="120">
        <f t="shared" si="317"/>
        <v>29134.800000000003</v>
      </c>
      <c r="N973" s="120">
        <f t="shared" si="318"/>
        <v>20200.128000000004</v>
      </c>
      <c r="O973" s="404">
        <f t="shared" si="319"/>
        <v>0</v>
      </c>
      <c r="P973" s="127">
        <f>H973*L973</f>
        <v>20200.128000000004</v>
      </c>
      <c r="Q973" s="129"/>
      <c r="R973" s="129"/>
      <c r="S973" s="132"/>
      <c r="T973" s="129"/>
      <c r="U973" s="129"/>
      <c r="V973" s="132"/>
      <c r="W973" s="129"/>
      <c r="X973" s="129"/>
      <c r="Y973" s="132"/>
      <c r="Z973" s="129"/>
      <c r="AA973" s="129"/>
      <c r="AB973" s="132"/>
      <c r="AC973" s="129"/>
      <c r="AD973" s="129"/>
      <c r="AE973" s="132"/>
      <c r="AF973" s="129"/>
      <c r="AG973" s="129"/>
      <c r="AH973" s="132"/>
      <c r="AI973" s="129"/>
      <c r="AJ973" s="129"/>
      <c r="AK973" s="132"/>
      <c r="AL973" s="129"/>
      <c r="AM973" s="129"/>
      <c r="AN973" s="132"/>
      <c r="AO973" s="129"/>
      <c r="AP973" s="129"/>
      <c r="AQ973" s="132"/>
      <c r="AR973" s="129"/>
      <c r="AS973" s="129"/>
      <c r="AT973" s="132"/>
      <c r="AU973" s="129"/>
      <c r="AV973" s="129"/>
      <c r="AW973" s="132"/>
      <c r="AX973" s="129"/>
      <c r="AY973" s="129"/>
      <c r="AZ973" s="132"/>
      <c r="BA973" s="129"/>
      <c r="BB973" s="129"/>
      <c r="BC973" s="132"/>
      <c r="BD973" s="129"/>
      <c r="BE973" s="129"/>
      <c r="BF973" s="132"/>
      <c r="BG973" s="129"/>
      <c r="BH973" s="129"/>
      <c r="BI973" s="132"/>
      <c r="BJ973" s="129"/>
      <c r="BK973" s="129"/>
      <c r="BL973" s="132"/>
      <c r="BM973" s="129"/>
      <c r="BN973" s="129"/>
      <c r="BO973" s="132"/>
      <c r="BP973" s="129"/>
      <c r="BQ973" s="129"/>
      <c r="BR973" s="132"/>
      <c r="BS973" s="129"/>
      <c r="BT973" s="129"/>
      <c r="BU973" s="132"/>
      <c r="BV973" s="129"/>
      <c r="BW973" s="129"/>
      <c r="BX973" s="132"/>
      <c r="BY973" s="129"/>
      <c r="BZ973" s="129"/>
      <c r="CA973" s="132"/>
      <c r="CB973" s="129"/>
      <c r="CC973" s="129"/>
      <c r="CD973" s="132"/>
      <c r="CE973" s="129"/>
      <c r="CF973" s="129"/>
      <c r="CG973" s="132"/>
      <c r="CH973" s="129"/>
      <c r="CI973" s="129"/>
      <c r="CJ973" s="132"/>
      <c r="CK973" s="129"/>
      <c r="CL973" s="129"/>
      <c r="CM973" s="132"/>
      <c r="CN973" s="129"/>
      <c r="CO973" s="129"/>
      <c r="CP973" s="132"/>
      <c r="CQ973" s="129"/>
      <c r="CR973" s="129"/>
      <c r="CS973" s="132"/>
      <c r="CT973" s="129"/>
      <c r="CU973" s="129"/>
      <c r="CV973" s="132"/>
      <c r="CW973" s="129"/>
      <c r="CX973" s="129"/>
      <c r="CY973" s="132"/>
      <c r="CZ973" s="129"/>
      <c r="DA973" s="129"/>
      <c r="DB973" s="132"/>
      <c r="DC973" s="129"/>
      <c r="DD973" s="129"/>
      <c r="DE973" s="132"/>
      <c r="DF973" s="129"/>
      <c r="DG973" s="129"/>
      <c r="DH973" s="132"/>
      <c r="DI973" s="129"/>
      <c r="DJ973" s="129"/>
      <c r="DK973" s="132"/>
      <c r="DL973" s="129"/>
      <c r="DM973" s="129"/>
      <c r="DN973" s="132"/>
      <c r="DO973" s="129"/>
      <c r="DP973" s="129"/>
      <c r="DQ973" s="132"/>
      <c r="DR973" s="129"/>
      <c r="DS973" s="129"/>
      <c r="DT973" s="132"/>
      <c r="DU973" s="129"/>
      <c r="DV973" s="129"/>
      <c r="DW973" s="132"/>
      <c r="DX973" s="129"/>
      <c r="DY973" s="129"/>
      <c r="DZ973" s="132"/>
      <c r="EA973" s="129"/>
      <c r="EB973" s="129"/>
      <c r="EC973" s="132"/>
      <c r="ED973" s="129"/>
      <c r="EE973" s="129"/>
      <c r="EF973" s="132"/>
      <c r="EG973" s="129"/>
      <c r="EH973" s="129"/>
      <c r="EI973" s="132"/>
      <c r="EJ973" s="129"/>
      <c r="EK973" s="129"/>
      <c r="EL973" s="132"/>
      <c r="EM973" s="129"/>
      <c r="EN973" s="129"/>
      <c r="EO973" s="132"/>
      <c r="EP973" s="129"/>
      <c r="EQ973" s="129"/>
      <c r="ER973" s="132"/>
      <c r="ES973" s="129"/>
      <c r="ET973" s="129"/>
      <c r="EU973" s="132"/>
      <c r="EV973" s="129"/>
      <c r="EW973" s="129"/>
      <c r="EX973" s="132"/>
      <c r="EY973" s="129"/>
      <c r="EZ973" s="129"/>
      <c r="FA973" s="132"/>
      <c r="FB973" s="129"/>
      <c r="FC973" s="129"/>
      <c r="FD973" s="132"/>
      <c r="FE973" s="129"/>
      <c r="FF973" s="129"/>
      <c r="FG973" s="132"/>
      <c r="FH973" s="129"/>
      <c r="FI973" s="129"/>
      <c r="FJ973" s="132"/>
      <c r="FK973" s="129"/>
      <c r="FL973" s="129"/>
      <c r="FM973" s="132"/>
      <c r="FN973" s="129"/>
      <c r="FO973" s="129"/>
      <c r="FP973" s="132"/>
      <c r="FQ973" s="129"/>
      <c r="FR973" s="129"/>
      <c r="FS973" s="132"/>
      <c r="FT973" s="129"/>
      <c r="FU973" s="129"/>
      <c r="FV973" s="132"/>
      <c r="FW973" s="129"/>
      <c r="FX973" s="129"/>
      <c r="FY973" s="132"/>
      <c r="FZ973" s="129"/>
      <c r="GA973" s="129"/>
      <c r="GB973" s="132"/>
      <c r="GC973" s="129"/>
      <c r="GD973" s="129"/>
      <c r="GE973" s="132"/>
      <c r="GF973" s="129"/>
      <c r="GG973" s="129"/>
      <c r="GH973" s="132"/>
      <c r="GI973" s="129"/>
      <c r="GJ973" s="129"/>
      <c r="GK973" s="132"/>
      <c r="GL973" s="129"/>
      <c r="GM973" s="129"/>
      <c r="GN973" s="132"/>
      <c r="GO973" s="129"/>
      <c r="GP973" s="129"/>
      <c r="GQ973" s="132"/>
      <c r="GR973" s="129"/>
      <c r="GS973" s="129"/>
      <c r="GT973" s="132"/>
      <c r="GU973" s="129"/>
      <c r="GV973" s="129"/>
      <c r="GW973" s="132"/>
      <c r="GX973" s="129"/>
      <c r="GY973" s="129"/>
      <c r="GZ973" s="132"/>
      <c r="HA973" s="129"/>
      <c r="HB973" s="129"/>
      <c r="HC973" s="132"/>
      <c r="HD973" s="129"/>
      <c r="HE973" s="129"/>
      <c r="HF973" s="132"/>
      <c r="HG973" s="129"/>
      <c r="HH973" s="129"/>
      <c r="HI973" s="132"/>
      <c r="HJ973" s="129"/>
      <c r="HK973" s="129"/>
      <c r="HL973" s="132"/>
      <c r="HM973" s="129"/>
      <c r="HN973" s="129"/>
      <c r="HO973" s="132"/>
      <c r="HP973" s="129"/>
      <c r="HQ973" s="129"/>
      <c r="HR973" s="132"/>
      <c r="HS973" s="129"/>
      <c r="HT973" s="129"/>
      <c r="HU973" s="132"/>
      <c r="HV973" s="129"/>
      <c r="HW973" s="129"/>
      <c r="HX973" s="132"/>
      <c r="HY973" s="129"/>
      <c r="HZ973" s="129"/>
      <c r="IA973" s="132"/>
      <c r="IB973" s="129"/>
      <c r="IC973" s="129"/>
      <c r="ID973" s="132"/>
      <c r="IE973" s="129"/>
      <c r="IF973" s="129"/>
      <c r="IG973" s="132"/>
      <c r="IH973" s="129"/>
      <c r="II973" s="129"/>
      <c r="IJ973" s="132"/>
      <c r="IK973" s="129"/>
      <c r="IL973" s="129"/>
      <c r="IM973" s="132"/>
      <c r="IN973" s="129"/>
      <c r="IO973" s="129"/>
      <c r="IP973" s="132"/>
      <c r="IQ973" s="129"/>
      <c r="IR973" s="129"/>
      <c r="IS973" s="132"/>
      <c r="IT973" s="129"/>
      <c r="IU973" s="129"/>
      <c r="IV973" s="132"/>
    </row>
    <row r="974" spans="1:256" ht="15.75">
      <c r="A974" s="132"/>
      <c r="B974" s="118"/>
      <c r="C974" s="132"/>
      <c r="D974" s="129"/>
      <c r="E974" s="129"/>
      <c r="F974" s="130"/>
      <c r="G974" s="399"/>
      <c r="H974" s="120"/>
      <c r="I974" s="417"/>
      <c r="J974" s="120"/>
      <c r="K974" s="404"/>
      <c r="L974" s="120">
        <f>J974+K974</f>
        <v>0</v>
      </c>
      <c r="M974" s="120">
        <f t="shared" si="317"/>
        <v>0</v>
      </c>
      <c r="N974" s="120">
        <f t="shared" si="318"/>
        <v>0</v>
      </c>
      <c r="O974" s="404">
        <f t="shared" si="319"/>
        <v>0</v>
      </c>
      <c r="P974" s="127">
        <f>H974*L974</f>
        <v>0</v>
      </c>
      <c r="Q974" s="129"/>
      <c r="R974" s="129"/>
      <c r="S974" s="132"/>
      <c r="T974" s="129"/>
      <c r="U974" s="129"/>
      <c r="V974" s="132"/>
      <c r="W974" s="129"/>
      <c r="X974" s="129"/>
      <c r="Y974" s="132"/>
      <c r="Z974" s="129"/>
      <c r="AA974" s="129"/>
      <c r="AB974" s="132"/>
      <c r="AC974" s="129"/>
      <c r="AD974" s="129"/>
      <c r="AE974" s="132"/>
      <c r="AF974" s="129"/>
      <c r="AG974" s="129"/>
      <c r="AH974" s="132"/>
      <c r="AI974" s="129"/>
      <c r="AJ974" s="129"/>
      <c r="AK974" s="132"/>
      <c r="AL974" s="129"/>
      <c r="AM974" s="129"/>
      <c r="AN974" s="132"/>
      <c r="AO974" s="129"/>
      <c r="AP974" s="129"/>
      <c r="AQ974" s="132"/>
      <c r="AR974" s="129"/>
      <c r="AS974" s="129"/>
      <c r="AT974" s="132"/>
      <c r="AU974" s="129"/>
      <c r="AV974" s="129"/>
      <c r="AW974" s="132"/>
      <c r="AX974" s="129"/>
      <c r="AY974" s="129"/>
      <c r="AZ974" s="132"/>
      <c r="BA974" s="129"/>
      <c r="BB974" s="129"/>
      <c r="BC974" s="132"/>
      <c r="BD974" s="129"/>
      <c r="BE974" s="129"/>
      <c r="BF974" s="132"/>
      <c r="BG974" s="129"/>
      <c r="BH974" s="129"/>
      <c r="BI974" s="132"/>
      <c r="BJ974" s="129"/>
      <c r="BK974" s="129"/>
      <c r="BL974" s="132"/>
      <c r="BM974" s="129"/>
      <c r="BN974" s="129"/>
      <c r="BO974" s="132"/>
      <c r="BP974" s="129"/>
      <c r="BQ974" s="129"/>
      <c r="BR974" s="132"/>
      <c r="BS974" s="129"/>
      <c r="BT974" s="129"/>
      <c r="BU974" s="132"/>
      <c r="BV974" s="129"/>
      <c r="BW974" s="129"/>
      <c r="BX974" s="132"/>
      <c r="BY974" s="129"/>
      <c r="BZ974" s="129"/>
      <c r="CA974" s="132"/>
      <c r="CB974" s="129"/>
      <c r="CC974" s="129"/>
      <c r="CD974" s="132"/>
      <c r="CE974" s="129"/>
      <c r="CF974" s="129"/>
      <c r="CG974" s="132"/>
      <c r="CH974" s="129"/>
      <c r="CI974" s="129"/>
      <c r="CJ974" s="132"/>
      <c r="CK974" s="129"/>
      <c r="CL974" s="129"/>
      <c r="CM974" s="132"/>
      <c r="CN974" s="129"/>
      <c r="CO974" s="129"/>
      <c r="CP974" s="132"/>
      <c r="CQ974" s="129"/>
      <c r="CR974" s="129"/>
      <c r="CS974" s="132"/>
      <c r="CT974" s="129"/>
      <c r="CU974" s="129"/>
      <c r="CV974" s="132"/>
      <c r="CW974" s="129"/>
      <c r="CX974" s="129"/>
      <c r="CY974" s="132"/>
      <c r="CZ974" s="129"/>
      <c r="DA974" s="129"/>
      <c r="DB974" s="132"/>
      <c r="DC974" s="129"/>
      <c r="DD974" s="129"/>
      <c r="DE974" s="132"/>
      <c r="DF974" s="129"/>
      <c r="DG974" s="129"/>
      <c r="DH974" s="132"/>
      <c r="DI974" s="129"/>
      <c r="DJ974" s="129"/>
      <c r="DK974" s="132"/>
      <c r="DL974" s="129"/>
      <c r="DM974" s="129"/>
      <c r="DN974" s="132"/>
      <c r="DO974" s="129"/>
      <c r="DP974" s="129"/>
      <c r="DQ974" s="132"/>
      <c r="DR974" s="129"/>
      <c r="DS974" s="129"/>
      <c r="DT974" s="132"/>
      <c r="DU974" s="129"/>
      <c r="DV974" s="129"/>
      <c r="DW974" s="132"/>
      <c r="DX974" s="129"/>
      <c r="DY974" s="129"/>
      <c r="DZ974" s="132"/>
      <c r="EA974" s="129"/>
      <c r="EB974" s="129"/>
      <c r="EC974" s="132"/>
      <c r="ED974" s="129"/>
      <c r="EE974" s="129"/>
      <c r="EF974" s="132"/>
      <c r="EG974" s="129"/>
      <c r="EH974" s="129"/>
      <c r="EI974" s="132"/>
      <c r="EJ974" s="129"/>
      <c r="EK974" s="129"/>
      <c r="EL974" s="132"/>
      <c r="EM974" s="129"/>
      <c r="EN974" s="129"/>
      <c r="EO974" s="132"/>
      <c r="EP974" s="129"/>
      <c r="EQ974" s="129"/>
      <c r="ER974" s="132"/>
      <c r="ES974" s="129"/>
      <c r="ET974" s="129"/>
      <c r="EU974" s="132"/>
      <c r="EV974" s="129"/>
      <c r="EW974" s="129"/>
      <c r="EX974" s="132"/>
      <c r="EY974" s="129"/>
      <c r="EZ974" s="129"/>
      <c r="FA974" s="132"/>
      <c r="FB974" s="129"/>
      <c r="FC974" s="129"/>
      <c r="FD974" s="132"/>
      <c r="FE974" s="129"/>
      <c r="FF974" s="129"/>
      <c r="FG974" s="132"/>
      <c r="FH974" s="129"/>
      <c r="FI974" s="129"/>
      <c r="FJ974" s="132"/>
      <c r="FK974" s="129"/>
      <c r="FL974" s="129"/>
      <c r="FM974" s="132"/>
      <c r="FN974" s="129"/>
      <c r="FO974" s="129"/>
      <c r="FP974" s="132"/>
      <c r="FQ974" s="129"/>
      <c r="FR974" s="129"/>
      <c r="FS974" s="132"/>
      <c r="FT974" s="129"/>
      <c r="FU974" s="129"/>
      <c r="FV974" s="132"/>
      <c r="FW974" s="129"/>
      <c r="FX974" s="129"/>
      <c r="FY974" s="132"/>
      <c r="FZ974" s="129"/>
      <c r="GA974" s="129"/>
      <c r="GB974" s="132"/>
      <c r="GC974" s="129"/>
      <c r="GD974" s="129"/>
      <c r="GE974" s="132"/>
      <c r="GF974" s="129"/>
      <c r="GG974" s="129"/>
      <c r="GH974" s="132"/>
      <c r="GI974" s="129"/>
      <c r="GJ974" s="129"/>
      <c r="GK974" s="132"/>
      <c r="GL974" s="129"/>
      <c r="GM974" s="129"/>
      <c r="GN974" s="132"/>
      <c r="GO974" s="129"/>
      <c r="GP974" s="129"/>
      <c r="GQ974" s="132"/>
      <c r="GR974" s="129"/>
      <c r="GS974" s="129"/>
      <c r="GT974" s="132"/>
      <c r="GU974" s="129"/>
      <c r="GV974" s="129"/>
      <c r="GW974" s="132"/>
      <c r="GX974" s="129"/>
      <c r="GY974" s="129"/>
      <c r="GZ974" s="132"/>
      <c r="HA974" s="129"/>
      <c r="HB974" s="129"/>
      <c r="HC974" s="132"/>
      <c r="HD974" s="129"/>
      <c r="HE974" s="129"/>
      <c r="HF974" s="132"/>
      <c r="HG974" s="129"/>
      <c r="HH974" s="129"/>
      <c r="HI974" s="132"/>
      <c r="HJ974" s="129"/>
      <c r="HK974" s="129"/>
      <c r="HL974" s="132"/>
      <c r="HM974" s="129"/>
      <c r="HN974" s="129"/>
      <c r="HO974" s="132"/>
      <c r="HP974" s="129"/>
      <c r="HQ974" s="129"/>
      <c r="HR974" s="132"/>
      <c r="HS974" s="129"/>
      <c r="HT974" s="129"/>
      <c r="HU974" s="132"/>
      <c r="HV974" s="129"/>
      <c r="HW974" s="129"/>
      <c r="HX974" s="132"/>
      <c r="HY974" s="129"/>
      <c r="HZ974" s="129"/>
      <c r="IA974" s="132"/>
      <c r="IB974" s="129"/>
      <c r="IC974" s="129"/>
      <c r="ID974" s="132"/>
      <c r="IE974" s="129"/>
      <c r="IF974" s="129"/>
      <c r="IG974" s="132"/>
      <c r="IH974" s="129"/>
      <c r="II974" s="129"/>
      <c r="IJ974" s="132"/>
      <c r="IK974" s="129"/>
      <c r="IL974" s="129"/>
      <c r="IM974" s="132"/>
      <c r="IN974" s="129"/>
      <c r="IO974" s="129"/>
      <c r="IP974" s="132"/>
      <c r="IQ974" s="129"/>
      <c r="IR974" s="129"/>
      <c r="IS974" s="132"/>
      <c r="IT974" s="129"/>
      <c r="IU974" s="129"/>
      <c r="IV974" s="132"/>
    </row>
    <row r="975" spans="1:256" ht="15.75">
      <c r="A975" s="156"/>
      <c r="B975" s="118"/>
      <c r="C975" s="132"/>
      <c r="D975" s="129"/>
      <c r="E975" s="129"/>
      <c r="F975" s="130"/>
      <c r="G975" s="399"/>
      <c r="H975" s="120"/>
      <c r="I975" s="417"/>
      <c r="J975" s="120"/>
      <c r="K975" s="404"/>
      <c r="L975" s="120"/>
      <c r="M975" s="120">
        <f t="shared" si="317"/>
        <v>0</v>
      </c>
      <c r="N975" s="120">
        <f t="shared" si="318"/>
        <v>0</v>
      </c>
      <c r="O975" s="404">
        <f t="shared" si="319"/>
        <v>0</v>
      </c>
      <c r="P975" s="127"/>
      <c r="Q975" s="159"/>
      <c r="R975" s="159"/>
      <c r="S975" s="156"/>
      <c r="T975" s="159"/>
      <c r="U975" s="159"/>
      <c r="V975" s="156"/>
      <c r="W975" s="159"/>
      <c r="X975" s="159"/>
      <c r="Y975" s="156"/>
      <c r="Z975" s="159"/>
      <c r="AA975" s="159"/>
      <c r="AB975" s="156"/>
      <c r="AC975" s="159"/>
      <c r="AD975" s="159"/>
      <c r="AE975" s="156"/>
      <c r="AF975" s="159"/>
      <c r="AG975" s="159"/>
      <c r="AH975" s="156"/>
      <c r="AI975" s="159"/>
      <c r="AJ975" s="159"/>
      <c r="AK975" s="156"/>
      <c r="AL975" s="159"/>
      <c r="AM975" s="159"/>
      <c r="AN975" s="156"/>
      <c r="AO975" s="159"/>
      <c r="AP975" s="159"/>
      <c r="AQ975" s="156"/>
      <c r="AR975" s="159"/>
      <c r="AS975" s="159"/>
      <c r="AT975" s="156"/>
      <c r="AU975" s="159"/>
      <c r="AV975" s="159"/>
      <c r="AW975" s="156"/>
      <c r="AX975" s="159"/>
      <c r="AY975" s="159"/>
      <c r="AZ975" s="156"/>
      <c r="BA975" s="159"/>
      <c r="BB975" s="159"/>
      <c r="BC975" s="156"/>
      <c r="BD975" s="159"/>
      <c r="BE975" s="159"/>
      <c r="BF975" s="156"/>
      <c r="BG975" s="159"/>
      <c r="BH975" s="159"/>
      <c r="BI975" s="156"/>
      <c r="BJ975" s="159"/>
      <c r="BK975" s="159"/>
      <c r="BL975" s="156"/>
      <c r="BM975" s="159"/>
      <c r="BN975" s="159"/>
      <c r="BO975" s="156"/>
      <c r="BP975" s="159"/>
      <c r="BQ975" s="159"/>
      <c r="BR975" s="156"/>
      <c r="BS975" s="159"/>
      <c r="BT975" s="159"/>
      <c r="BU975" s="156"/>
      <c r="BV975" s="159"/>
      <c r="BW975" s="159"/>
      <c r="BX975" s="156"/>
      <c r="BY975" s="159"/>
      <c r="BZ975" s="159"/>
      <c r="CA975" s="156"/>
      <c r="CB975" s="159"/>
      <c r="CC975" s="159"/>
      <c r="CD975" s="156"/>
      <c r="CE975" s="159"/>
      <c r="CF975" s="159"/>
      <c r="CG975" s="156"/>
      <c r="CH975" s="159"/>
      <c r="CI975" s="159"/>
      <c r="CJ975" s="156"/>
      <c r="CK975" s="159"/>
      <c r="CL975" s="159"/>
      <c r="CM975" s="156"/>
      <c r="CN975" s="159"/>
      <c r="CO975" s="159"/>
      <c r="CP975" s="156"/>
      <c r="CQ975" s="159"/>
      <c r="CR975" s="159"/>
      <c r="CS975" s="156"/>
      <c r="CT975" s="159"/>
      <c r="CU975" s="159"/>
      <c r="CV975" s="156"/>
      <c r="CW975" s="159"/>
      <c r="CX975" s="159"/>
      <c r="CY975" s="156"/>
      <c r="CZ975" s="159"/>
      <c r="DA975" s="159"/>
      <c r="DB975" s="156"/>
      <c r="DC975" s="159"/>
      <c r="DD975" s="159"/>
      <c r="DE975" s="156"/>
      <c r="DF975" s="159"/>
      <c r="DG975" s="159"/>
      <c r="DH975" s="156"/>
      <c r="DI975" s="159"/>
      <c r="DJ975" s="159"/>
      <c r="DK975" s="156"/>
      <c r="DL975" s="159"/>
      <c r="DM975" s="159"/>
      <c r="DN975" s="156"/>
      <c r="DO975" s="159"/>
      <c r="DP975" s="159"/>
      <c r="DQ975" s="156"/>
      <c r="DR975" s="159"/>
      <c r="DS975" s="159"/>
      <c r="DT975" s="156"/>
      <c r="DU975" s="159"/>
      <c r="DV975" s="159"/>
      <c r="DW975" s="156"/>
      <c r="DX975" s="159"/>
      <c r="DY975" s="159"/>
      <c r="DZ975" s="156"/>
      <c r="EA975" s="159"/>
      <c r="EB975" s="159"/>
      <c r="EC975" s="156"/>
      <c r="ED975" s="159"/>
      <c r="EE975" s="159"/>
      <c r="EF975" s="156"/>
      <c r="EG975" s="159"/>
      <c r="EH975" s="159"/>
      <c r="EI975" s="156"/>
      <c r="EJ975" s="159"/>
      <c r="EK975" s="159"/>
      <c r="EL975" s="156"/>
      <c r="EM975" s="159"/>
      <c r="EN975" s="159"/>
      <c r="EO975" s="156"/>
      <c r="EP975" s="159"/>
      <c r="EQ975" s="159"/>
      <c r="ER975" s="156"/>
      <c r="ES975" s="159"/>
      <c r="ET975" s="159"/>
      <c r="EU975" s="156"/>
      <c r="EV975" s="159"/>
      <c r="EW975" s="159"/>
      <c r="EX975" s="156"/>
      <c r="EY975" s="159"/>
      <c r="EZ975" s="159"/>
      <c r="FA975" s="156"/>
      <c r="FB975" s="159"/>
      <c r="FC975" s="159"/>
      <c r="FD975" s="156"/>
      <c r="FE975" s="159"/>
      <c r="FF975" s="159"/>
      <c r="FG975" s="156"/>
      <c r="FH975" s="159"/>
      <c r="FI975" s="159"/>
      <c r="FJ975" s="156"/>
      <c r="FK975" s="159"/>
      <c r="FL975" s="159"/>
      <c r="FM975" s="156"/>
      <c r="FN975" s="159"/>
      <c r="FO975" s="159"/>
      <c r="FP975" s="156"/>
      <c r="FQ975" s="159"/>
      <c r="FR975" s="159"/>
      <c r="FS975" s="156"/>
      <c r="FT975" s="159"/>
      <c r="FU975" s="159"/>
      <c r="FV975" s="156"/>
      <c r="FW975" s="159"/>
      <c r="FX975" s="159"/>
      <c r="FY975" s="156"/>
      <c r="FZ975" s="159"/>
      <c r="GA975" s="159"/>
      <c r="GB975" s="156"/>
      <c r="GC975" s="159"/>
      <c r="GD975" s="159"/>
      <c r="GE975" s="156"/>
      <c r="GF975" s="159"/>
      <c r="GG975" s="159"/>
      <c r="GH975" s="156"/>
      <c r="GI975" s="159"/>
      <c r="GJ975" s="159"/>
      <c r="GK975" s="156"/>
      <c r="GL975" s="159"/>
      <c r="GM975" s="159"/>
      <c r="GN975" s="156"/>
      <c r="GO975" s="159"/>
      <c r="GP975" s="159"/>
      <c r="GQ975" s="156"/>
      <c r="GR975" s="159"/>
      <c r="GS975" s="159"/>
      <c r="GT975" s="156"/>
      <c r="GU975" s="159"/>
      <c r="GV975" s="159"/>
      <c r="GW975" s="156"/>
      <c r="GX975" s="159"/>
      <c r="GY975" s="159"/>
      <c r="GZ975" s="156"/>
      <c r="HA975" s="159"/>
      <c r="HB975" s="159"/>
      <c r="HC975" s="156"/>
      <c r="HD975" s="159"/>
      <c r="HE975" s="159"/>
      <c r="HF975" s="156"/>
      <c r="HG975" s="159"/>
      <c r="HH975" s="159"/>
      <c r="HI975" s="156"/>
      <c r="HJ975" s="159"/>
      <c r="HK975" s="159"/>
      <c r="HL975" s="156"/>
      <c r="HM975" s="159"/>
      <c r="HN975" s="159"/>
      <c r="HO975" s="156"/>
      <c r="HP975" s="159"/>
      <c r="HQ975" s="159"/>
      <c r="HR975" s="156"/>
      <c r="HS975" s="159"/>
      <c r="HT975" s="159"/>
      <c r="HU975" s="156"/>
      <c r="HV975" s="159"/>
      <c r="HW975" s="159"/>
      <c r="HX975" s="156"/>
      <c r="HY975" s="159"/>
      <c r="HZ975" s="159"/>
      <c r="IA975" s="156"/>
      <c r="IB975" s="159"/>
      <c r="IC975" s="159"/>
      <c r="ID975" s="156"/>
      <c r="IE975" s="159"/>
      <c r="IF975" s="159"/>
      <c r="IG975" s="156"/>
      <c r="IH975" s="159"/>
      <c r="II975" s="159"/>
      <c r="IJ975" s="156"/>
      <c r="IK975" s="159"/>
      <c r="IL975" s="159"/>
      <c r="IM975" s="156"/>
      <c r="IN975" s="159"/>
      <c r="IO975" s="159"/>
      <c r="IP975" s="156"/>
      <c r="IQ975" s="159"/>
      <c r="IR975" s="159"/>
      <c r="IS975" s="156"/>
      <c r="IT975" s="159"/>
      <c r="IU975" s="159"/>
      <c r="IV975" s="156"/>
    </row>
    <row r="976" spans="1:256" ht="15.75">
      <c r="A976" s="132"/>
      <c r="B976" s="147" t="s">
        <v>814</v>
      </c>
      <c r="C976" s="132" t="s">
        <v>815</v>
      </c>
      <c r="D976" s="129"/>
      <c r="E976" s="129"/>
      <c r="F976" s="130"/>
      <c r="G976" s="399" t="s">
        <v>663</v>
      </c>
      <c r="H976" s="120">
        <v>2214.0100000000002</v>
      </c>
      <c r="I976" s="417">
        <v>21.84</v>
      </c>
      <c r="J976" s="120">
        <v>24</v>
      </c>
      <c r="K976" s="404"/>
      <c r="L976" s="120">
        <f>J976+K976</f>
        <v>24</v>
      </c>
      <c r="M976" s="120">
        <f t="shared" si="317"/>
        <v>48353.978400000007</v>
      </c>
      <c r="N976" s="120">
        <f t="shared" si="318"/>
        <v>53136.240000000005</v>
      </c>
      <c r="O976" s="404">
        <f t="shared" ref="O976:O986" si="320">H976*K976</f>
        <v>0</v>
      </c>
      <c r="P976" s="127">
        <f>H976*L976</f>
        <v>53136.240000000005</v>
      </c>
      <c r="Q976" s="129"/>
      <c r="R976" s="129"/>
      <c r="S976" s="132"/>
      <c r="T976" s="129"/>
      <c r="U976" s="129"/>
      <c r="V976" s="132"/>
      <c r="W976" s="129"/>
      <c r="X976" s="129"/>
      <c r="Y976" s="132"/>
      <c r="Z976" s="129"/>
      <c r="AA976" s="129"/>
      <c r="AB976" s="132"/>
      <c r="AC976" s="129"/>
      <c r="AD976" s="129"/>
      <c r="AE976" s="132"/>
      <c r="AF976" s="129"/>
      <c r="AG976" s="129"/>
      <c r="AH976" s="132"/>
      <c r="AI976" s="129"/>
      <c r="AJ976" s="129"/>
      <c r="AK976" s="132"/>
      <c r="AL976" s="129"/>
      <c r="AM976" s="129"/>
      <c r="AN976" s="132"/>
      <c r="AO976" s="129"/>
      <c r="AP976" s="129"/>
      <c r="AQ976" s="132"/>
      <c r="AR976" s="129"/>
      <c r="AS976" s="129"/>
      <c r="AT976" s="132"/>
      <c r="AU976" s="129"/>
      <c r="AV976" s="129"/>
      <c r="AW976" s="132"/>
      <c r="AX976" s="129"/>
      <c r="AY976" s="129"/>
      <c r="AZ976" s="132"/>
      <c r="BA976" s="129"/>
      <c r="BB976" s="129"/>
      <c r="BC976" s="132"/>
      <c r="BD976" s="129"/>
      <c r="BE976" s="129"/>
      <c r="BF976" s="132"/>
      <c r="BG976" s="129"/>
      <c r="BH976" s="129"/>
      <c r="BI976" s="132"/>
      <c r="BJ976" s="129"/>
      <c r="BK976" s="129"/>
      <c r="BL976" s="132"/>
      <c r="BM976" s="129"/>
      <c r="BN976" s="129"/>
      <c r="BO976" s="132"/>
      <c r="BP976" s="129"/>
      <c r="BQ976" s="129"/>
      <c r="BR976" s="132"/>
      <c r="BS976" s="129"/>
      <c r="BT976" s="129"/>
      <c r="BU976" s="132"/>
      <c r="BV976" s="129"/>
      <c r="BW976" s="129"/>
      <c r="BX976" s="132"/>
      <c r="BY976" s="129"/>
      <c r="BZ976" s="129"/>
      <c r="CA976" s="132"/>
      <c r="CB976" s="129"/>
      <c r="CC976" s="129"/>
      <c r="CD976" s="132"/>
      <c r="CE976" s="129"/>
      <c r="CF976" s="129"/>
      <c r="CG976" s="132"/>
      <c r="CH976" s="129"/>
      <c r="CI976" s="129"/>
      <c r="CJ976" s="132"/>
      <c r="CK976" s="129"/>
      <c r="CL976" s="129"/>
      <c r="CM976" s="132"/>
      <c r="CN976" s="129"/>
      <c r="CO976" s="129"/>
      <c r="CP976" s="132"/>
      <c r="CQ976" s="129"/>
      <c r="CR976" s="129"/>
      <c r="CS976" s="132"/>
      <c r="CT976" s="129"/>
      <c r="CU976" s="129"/>
      <c r="CV976" s="132"/>
      <c r="CW976" s="129"/>
      <c r="CX976" s="129"/>
      <c r="CY976" s="132"/>
      <c r="CZ976" s="129"/>
      <c r="DA976" s="129"/>
      <c r="DB976" s="132"/>
      <c r="DC976" s="129"/>
      <c r="DD976" s="129"/>
      <c r="DE976" s="132"/>
      <c r="DF976" s="129"/>
      <c r="DG976" s="129"/>
      <c r="DH976" s="132"/>
      <c r="DI976" s="129"/>
      <c r="DJ976" s="129"/>
      <c r="DK976" s="132"/>
      <c r="DL976" s="129"/>
      <c r="DM976" s="129"/>
      <c r="DN976" s="132"/>
      <c r="DO976" s="129"/>
      <c r="DP976" s="129"/>
      <c r="DQ976" s="132"/>
      <c r="DR976" s="129"/>
      <c r="DS976" s="129"/>
      <c r="DT976" s="132"/>
      <c r="DU976" s="129"/>
      <c r="DV976" s="129"/>
      <c r="DW976" s="132"/>
      <c r="DX976" s="129"/>
      <c r="DY976" s="129"/>
      <c r="DZ976" s="132"/>
      <c r="EA976" s="129"/>
      <c r="EB976" s="129"/>
      <c r="EC976" s="132"/>
      <c r="ED976" s="129"/>
      <c r="EE976" s="129"/>
      <c r="EF976" s="132"/>
      <c r="EG976" s="129"/>
      <c r="EH976" s="129"/>
      <c r="EI976" s="132"/>
      <c r="EJ976" s="129"/>
      <c r="EK976" s="129"/>
      <c r="EL976" s="132"/>
      <c r="EM976" s="129"/>
      <c r="EN976" s="129"/>
      <c r="EO976" s="132"/>
      <c r="EP976" s="129"/>
      <c r="EQ976" s="129"/>
      <c r="ER976" s="132"/>
      <c r="ES976" s="129"/>
      <c r="ET976" s="129"/>
      <c r="EU976" s="132"/>
      <c r="EV976" s="129"/>
      <c r="EW976" s="129"/>
      <c r="EX976" s="132"/>
      <c r="EY976" s="129"/>
      <c r="EZ976" s="129"/>
      <c r="FA976" s="132"/>
      <c r="FB976" s="129"/>
      <c r="FC976" s="129"/>
      <c r="FD976" s="132"/>
      <c r="FE976" s="129"/>
      <c r="FF976" s="129"/>
      <c r="FG976" s="132"/>
      <c r="FH976" s="129"/>
      <c r="FI976" s="129"/>
      <c r="FJ976" s="132"/>
      <c r="FK976" s="129"/>
      <c r="FL976" s="129"/>
      <c r="FM976" s="132"/>
      <c r="FN976" s="129"/>
      <c r="FO976" s="129"/>
      <c r="FP976" s="132"/>
      <c r="FQ976" s="129"/>
      <c r="FR976" s="129"/>
      <c r="FS976" s="132"/>
      <c r="FT976" s="129"/>
      <c r="FU976" s="129"/>
      <c r="FV976" s="132"/>
      <c r="FW976" s="129"/>
      <c r="FX976" s="129"/>
      <c r="FY976" s="132"/>
      <c r="FZ976" s="129"/>
      <c r="GA976" s="129"/>
      <c r="GB976" s="132"/>
      <c r="GC976" s="129"/>
      <c r="GD976" s="129"/>
      <c r="GE976" s="132"/>
      <c r="GF976" s="129"/>
      <c r="GG976" s="129"/>
      <c r="GH976" s="132"/>
      <c r="GI976" s="129"/>
      <c r="GJ976" s="129"/>
      <c r="GK976" s="132"/>
      <c r="GL976" s="129"/>
      <c r="GM976" s="129"/>
      <c r="GN976" s="132"/>
      <c r="GO976" s="129"/>
      <c r="GP976" s="129"/>
      <c r="GQ976" s="132"/>
      <c r="GR976" s="129"/>
      <c r="GS976" s="129"/>
      <c r="GT976" s="132"/>
      <c r="GU976" s="129"/>
      <c r="GV976" s="129"/>
      <c r="GW976" s="132"/>
      <c r="GX976" s="129"/>
      <c r="GY976" s="129"/>
      <c r="GZ976" s="132"/>
      <c r="HA976" s="129"/>
      <c r="HB976" s="129"/>
      <c r="HC976" s="132"/>
      <c r="HD976" s="129"/>
      <c r="HE976" s="129"/>
      <c r="HF976" s="132"/>
      <c r="HG976" s="129"/>
      <c r="HH976" s="129"/>
      <c r="HI976" s="132"/>
      <c r="HJ976" s="129"/>
      <c r="HK976" s="129"/>
      <c r="HL976" s="132"/>
      <c r="HM976" s="129"/>
      <c r="HN976" s="129"/>
      <c r="HO976" s="132"/>
      <c r="HP976" s="129"/>
      <c r="HQ976" s="129"/>
      <c r="HR976" s="132"/>
      <c r="HS976" s="129"/>
      <c r="HT976" s="129"/>
      <c r="HU976" s="132"/>
      <c r="HV976" s="129"/>
      <c r="HW976" s="129"/>
      <c r="HX976" s="132"/>
      <c r="HY976" s="129"/>
      <c r="HZ976" s="129"/>
      <c r="IA976" s="132"/>
      <c r="IB976" s="129"/>
      <c r="IC976" s="129"/>
      <c r="ID976" s="132"/>
      <c r="IE976" s="129"/>
      <c r="IF976" s="129"/>
      <c r="IG976" s="132"/>
      <c r="IH976" s="129"/>
      <c r="II976" s="129"/>
      <c r="IJ976" s="132"/>
      <c r="IK976" s="129"/>
      <c r="IL976" s="129"/>
      <c r="IM976" s="132"/>
      <c r="IN976" s="129"/>
      <c r="IO976" s="129"/>
      <c r="IP976" s="132"/>
      <c r="IQ976" s="129"/>
      <c r="IR976" s="129"/>
      <c r="IS976" s="132"/>
      <c r="IT976" s="129"/>
      <c r="IU976" s="129"/>
      <c r="IV976" s="132"/>
    </row>
    <row r="977" spans="1:256" ht="15.75">
      <c r="A977" s="132"/>
      <c r="B977" s="118"/>
      <c r="C977" s="132"/>
      <c r="D977" s="129"/>
      <c r="E977" s="129"/>
      <c r="F977" s="130"/>
      <c r="G977" s="399"/>
      <c r="H977" s="120"/>
      <c r="I977" s="417"/>
      <c r="J977" s="120"/>
      <c r="K977" s="404"/>
      <c r="L977" s="120">
        <f>J977+K977</f>
        <v>0</v>
      </c>
      <c r="M977" s="120">
        <f t="shared" si="317"/>
        <v>0</v>
      </c>
      <c r="N977" s="120">
        <f t="shared" si="318"/>
        <v>0</v>
      </c>
      <c r="O977" s="404">
        <f t="shared" si="320"/>
        <v>0</v>
      </c>
      <c r="P977" s="127">
        <f>H977*L977</f>
        <v>0</v>
      </c>
      <c r="Q977" s="129"/>
      <c r="R977" s="129"/>
      <c r="S977" s="132"/>
      <c r="T977" s="129"/>
      <c r="U977" s="129"/>
      <c r="V977" s="132"/>
      <c r="W977" s="129"/>
      <c r="X977" s="129"/>
      <c r="Y977" s="132"/>
      <c r="Z977" s="129"/>
      <c r="AA977" s="129"/>
      <c r="AB977" s="132"/>
      <c r="AC977" s="129"/>
      <c r="AD977" s="129"/>
      <c r="AE977" s="132"/>
      <c r="AF977" s="129"/>
      <c r="AG977" s="129"/>
      <c r="AH977" s="132"/>
      <c r="AI977" s="129"/>
      <c r="AJ977" s="129"/>
      <c r="AK977" s="132"/>
      <c r="AL977" s="129"/>
      <c r="AM977" s="129"/>
      <c r="AN977" s="132"/>
      <c r="AO977" s="129"/>
      <c r="AP977" s="129"/>
      <c r="AQ977" s="132"/>
      <c r="AR977" s="129"/>
      <c r="AS977" s="129"/>
      <c r="AT977" s="132"/>
      <c r="AU977" s="129"/>
      <c r="AV977" s="129"/>
      <c r="AW977" s="132"/>
      <c r="AX977" s="129"/>
      <c r="AY977" s="129"/>
      <c r="AZ977" s="132"/>
      <c r="BA977" s="129"/>
      <c r="BB977" s="129"/>
      <c r="BC977" s="132"/>
      <c r="BD977" s="129"/>
      <c r="BE977" s="129"/>
      <c r="BF977" s="132"/>
      <c r="BG977" s="129"/>
      <c r="BH977" s="129"/>
      <c r="BI977" s="132"/>
      <c r="BJ977" s="129"/>
      <c r="BK977" s="129"/>
      <c r="BL977" s="132"/>
      <c r="BM977" s="129"/>
      <c r="BN977" s="129"/>
      <c r="BO977" s="132"/>
      <c r="BP977" s="129"/>
      <c r="BQ977" s="129"/>
      <c r="BR977" s="132"/>
      <c r="BS977" s="129"/>
      <c r="BT977" s="129"/>
      <c r="BU977" s="132"/>
      <c r="BV977" s="129"/>
      <c r="BW977" s="129"/>
      <c r="BX977" s="132"/>
      <c r="BY977" s="129"/>
      <c r="BZ977" s="129"/>
      <c r="CA977" s="132"/>
      <c r="CB977" s="129"/>
      <c r="CC977" s="129"/>
      <c r="CD977" s="132"/>
      <c r="CE977" s="129"/>
      <c r="CF977" s="129"/>
      <c r="CG977" s="132"/>
      <c r="CH977" s="129"/>
      <c r="CI977" s="129"/>
      <c r="CJ977" s="132"/>
      <c r="CK977" s="129"/>
      <c r="CL977" s="129"/>
      <c r="CM977" s="132"/>
      <c r="CN977" s="129"/>
      <c r="CO977" s="129"/>
      <c r="CP977" s="132"/>
      <c r="CQ977" s="129"/>
      <c r="CR977" s="129"/>
      <c r="CS977" s="132"/>
      <c r="CT977" s="129"/>
      <c r="CU977" s="129"/>
      <c r="CV977" s="132"/>
      <c r="CW977" s="129"/>
      <c r="CX977" s="129"/>
      <c r="CY977" s="132"/>
      <c r="CZ977" s="129"/>
      <c r="DA977" s="129"/>
      <c r="DB977" s="132"/>
      <c r="DC977" s="129"/>
      <c r="DD977" s="129"/>
      <c r="DE977" s="132"/>
      <c r="DF977" s="129"/>
      <c r="DG977" s="129"/>
      <c r="DH977" s="132"/>
      <c r="DI977" s="129"/>
      <c r="DJ977" s="129"/>
      <c r="DK977" s="132"/>
      <c r="DL977" s="129"/>
      <c r="DM977" s="129"/>
      <c r="DN977" s="132"/>
      <c r="DO977" s="129"/>
      <c r="DP977" s="129"/>
      <c r="DQ977" s="132"/>
      <c r="DR977" s="129"/>
      <c r="DS977" s="129"/>
      <c r="DT977" s="132"/>
      <c r="DU977" s="129"/>
      <c r="DV977" s="129"/>
      <c r="DW977" s="132"/>
      <c r="DX977" s="129"/>
      <c r="DY977" s="129"/>
      <c r="DZ977" s="132"/>
      <c r="EA977" s="129"/>
      <c r="EB977" s="129"/>
      <c r="EC977" s="132"/>
      <c r="ED977" s="129"/>
      <c r="EE977" s="129"/>
      <c r="EF977" s="132"/>
      <c r="EG977" s="129"/>
      <c r="EH977" s="129"/>
      <c r="EI977" s="132"/>
      <c r="EJ977" s="129"/>
      <c r="EK977" s="129"/>
      <c r="EL977" s="132"/>
      <c r="EM977" s="129"/>
      <c r="EN977" s="129"/>
      <c r="EO977" s="132"/>
      <c r="EP977" s="129"/>
      <c r="EQ977" s="129"/>
      <c r="ER977" s="132"/>
      <c r="ES977" s="129"/>
      <c r="ET977" s="129"/>
      <c r="EU977" s="132"/>
      <c r="EV977" s="129"/>
      <c r="EW977" s="129"/>
      <c r="EX977" s="132"/>
      <c r="EY977" s="129"/>
      <c r="EZ977" s="129"/>
      <c r="FA977" s="132"/>
      <c r="FB977" s="129"/>
      <c r="FC977" s="129"/>
      <c r="FD977" s="132"/>
      <c r="FE977" s="129"/>
      <c r="FF977" s="129"/>
      <c r="FG977" s="132"/>
      <c r="FH977" s="129"/>
      <c r="FI977" s="129"/>
      <c r="FJ977" s="132"/>
      <c r="FK977" s="129"/>
      <c r="FL977" s="129"/>
      <c r="FM977" s="132"/>
      <c r="FN977" s="129"/>
      <c r="FO977" s="129"/>
      <c r="FP977" s="132"/>
      <c r="FQ977" s="129"/>
      <c r="FR977" s="129"/>
      <c r="FS977" s="132"/>
      <c r="FT977" s="129"/>
      <c r="FU977" s="129"/>
      <c r="FV977" s="132"/>
      <c r="FW977" s="129"/>
      <c r="FX977" s="129"/>
      <c r="FY977" s="132"/>
      <c r="FZ977" s="129"/>
      <c r="GA977" s="129"/>
      <c r="GB977" s="132"/>
      <c r="GC977" s="129"/>
      <c r="GD977" s="129"/>
      <c r="GE977" s="132"/>
      <c r="GF977" s="129"/>
      <c r="GG977" s="129"/>
      <c r="GH977" s="132"/>
      <c r="GI977" s="129"/>
      <c r="GJ977" s="129"/>
      <c r="GK977" s="132"/>
      <c r="GL977" s="129"/>
      <c r="GM977" s="129"/>
      <c r="GN977" s="132"/>
      <c r="GO977" s="129"/>
      <c r="GP977" s="129"/>
      <c r="GQ977" s="132"/>
      <c r="GR977" s="129"/>
      <c r="GS977" s="129"/>
      <c r="GT977" s="132"/>
      <c r="GU977" s="129"/>
      <c r="GV977" s="129"/>
      <c r="GW977" s="132"/>
      <c r="GX977" s="129"/>
      <c r="GY977" s="129"/>
      <c r="GZ977" s="132"/>
      <c r="HA977" s="129"/>
      <c r="HB977" s="129"/>
      <c r="HC977" s="132"/>
      <c r="HD977" s="129"/>
      <c r="HE977" s="129"/>
      <c r="HF977" s="132"/>
      <c r="HG977" s="129"/>
      <c r="HH977" s="129"/>
      <c r="HI977" s="132"/>
      <c r="HJ977" s="129"/>
      <c r="HK977" s="129"/>
      <c r="HL977" s="132"/>
      <c r="HM977" s="129"/>
      <c r="HN977" s="129"/>
      <c r="HO977" s="132"/>
      <c r="HP977" s="129"/>
      <c r="HQ977" s="129"/>
      <c r="HR977" s="132"/>
      <c r="HS977" s="129"/>
      <c r="HT977" s="129"/>
      <c r="HU977" s="132"/>
      <c r="HV977" s="129"/>
      <c r="HW977" s="129"/>
      <c r="HX977" s="132"/>
      <c r="HY977" s="129"/>
      <c r="HZ977" s="129"/>
      <c r="IA977" s="132"/>
      <c r="IB977" s="129"/>
      <c r="IC977" s="129"/>
      <c r="ID977" s="132"/>
      <c r="IE977" s="129"/>
      <c r="IF977" s="129"/>
      <c r="IG977" s="132"/>
      <c r="IH977" s="129"/>
      <c r="II977" s="129"/>
      <c r="IJ977" s="132"/>
      <c r="IK977" s="129"/>
      <c r="IL977" s="129"/>
      <c r="IM977" s="132"/>
      <c r="IN977" s="129"/>
      <c r="IO977" s="129"/>
      <c r="IP977" s="132"/>
      <c r="IQ977" s="129"/>
      <c r="IR977" s="129"/>
      <c r="IS977" s="132"/>
      <c r="IT977" s="129"/>
      <c r="IU977" s="129"/>
      <c r="IV977" s="132"/>
    </row>
    <row r="978" spans="1:256" ht="15.75">
      <c r="A978" s="156"/>
      <c r="B978" s="118"/>
      <c r="C978" s="132"/>
      <c r="D978" s="129"/>
      <c r="E978" s="129"/>
      <c r="F978" s="130"/>
      <c r="G978" s="399"/>
      <c r="H978" s="120"/>
      <c r="I978" s="417"/>
      <c r="J978" s="120"/>
      <c r="K978" s="404"/>
      <c r="L978" s="120">
        <f>J978+K978</f>
        <v>0</v>
      </c>
      <c r="M978" s="120">
        <f t="shared" si="317"/>
        <v>0</v>
      </c>
      <c r="N978" s="120">
        <f t="shared" si="318"/>
        <v>0</v>
      </c>
      <c r="O978" s="404">
        <f t="shared" si="320"/>
        <v>0</v>
      </c>
      <c r="P978" s="127">
        <f>H978*L978</f>
        <v>0</v>
      </c>
      <c r="Q978" s="159"/>
      <c r="R978" s="159"/>
      <c r="S978" s="156"/>
      <c r="T978" s="159"/>
      <c r="U978" s="159"/>
      <c r="V978" s="156"/>
      <c r="W978" s="159"/>
      <c r="X978" s="159"/>
      <c r="Y978" s="156"/>
      <c r="Z978" s="159"/>
      <c r="AA978" s="159"/>
      <c r="AB978" s="156"/>
      <c r="AC978" s="159"/>
      <c r="AD978" s="159"/>
      <c r="AE978" s="156"/>
      <c r="AF978" s="159"/>
      <c r="AG978" s="159"/>
      <c r="AH978" s="156"/>
      <c r="AI978" s="159"/>
      <c r="AJ978" s="159"/>
      <c r="AK978" s="156"/>
      <c r="AL978" s="159"/>
      <c r="AM978" s="159"/>
      <c r="AN978" s="156"/>
      <c r="AO978" s="159"/>
      <c r="AP978" s="159"/>
      <c r="AQ978" s="156"/>
      <c r="AR978" s="159"/>
      <c r="AS978" s="159"/>
      <c r="AT978" s="156"/>
      <c r="AU978" s="159"/>
      <c r="AV978" s="159"/>
      <c r="AW978" s="156"/>
      <c r="AX978" s="159"/>
      <c r="AY978" s="159"/>
      <c r="AZ978" s="156"/>
      <c r="BA978" s="159"/>
      <c r="BB978" s="159"/>
      <c r="BC978" s="156"/>
      <c r="BD978" s="159"/>
      <c r="BE978" s="159"/>
      <c r="BF978" s="156"/>
      <c r="BG978" s="159"/>
      <c r="BH978" s="159"/>
      <c r="BI978" s="156"/>
      <c r="BJ978" s="159"/>
      <c r="BK978" s="159"/>
      <c r="BL978" s="156"/>
      <c r="BM978" s="159"/>
      <c r="BN978" s="159"/>
      <c r="BO978" s="156"/>
      <c r="BP978" s="159"/>
      <c r="BQ978" s="159"/>
      <c r="BR978" s="156"/>
      <c r="BS978" s="159"/>
      <c r="BT978" s="159"/>
      <c r="BU978" s="156"/>
      <c r="BV978" s="159"/>
      <c r="BW978" s="159"/>
      <c r="BX978" s="156"/>
      <c r="BY978" s="159"/>
      <c r="BZ978" s="159"/>
      <c r="CA978" s="156"/>
      <c r="CB978" s="159"/>
      <c r="CC978" s="159"/>
      <c r="CD978" s="156"/>
      <c r="CE978" s="159"/>
      <c r="CF978" s="159"/>
      <c r="CG978" s="156"/>
      <c r="CH978" s="159"/>
      <c r="CI978" s="159"/>
      <c r="CJ978" s="156"/>
      <c r="CK978" s="159"/>
      <c r="CL978" s="159"/>
      <c r="CM978" s="156"/>
      <c r="CN978" s="159"/>
      <c r="CO978" s="159"/>
      <c r="CP978" s="156"/>
      <c r="CQ978" s="159"/>
      <c r="CR978" s="159"/>
      <c r="CS978" s="156"/>
      <c r="CT978" s="159"/>
      <c r="CU978" s="159"/>
      <c r="CV978" s="156"/>
      <c r="CW978" s="159"/>
      <c r="CX978" s="159"/>
      <c r="CY978" s="156"/>
      <c r="CZ978" s="159"/>
      <c r="DA978" s="159"/>
      <c r="DB978" s="156"/>
      <c r="DC978" s="159"/>
      <c r="DD978" s="159"/>
      <c r="DE978" s="156"/>
      <c r="DF978" s="159"/>
      <c r="DG978" s="159"/>
      <c r="DH978" s="156"/>
      <c r="DI978" s="159"/>
      <c r="DJ978" s="159"/>
      <c r="DK978" s="156"/>
      <c r="DL978" s="159"/>
      <c r="DM978" s="159"/>
      <c r="DN978" s="156"/>
      <c r="DO978" s="159"/>
      <c r="DP978" s="159"/>
      <c r="DQ978" s="156"/>
      <c r="DR978" s="159"/>
      <c r="DS978" s="159"/>
      <c r="DT978" s="156"/>
      <c r="DU978" s="159"/>
      <c r="DV978" s="159"/>
      <c r="DW978" s="156"/>
      <c r="DX978" s="159"/>
      <c r="DY978" s="159"/>
      <c r="DZ978" s="156"/>
      <c r="EA978" s="159"/>
      <c r="EB978" s="159"/>
      <c r="EC978" s="156"/>
      <c r="ED978" s="159"/>
      <c r="EE978" s="159"/>
      <c r="EF978" s="156"/>
      <c r="EG978" s="159"/>
      <c r="EH978" s="159"/>
      <c r="EI978" s="156"/>
      <c r="EJ978" s="159"/>
      <c r="EK978" s="159"/>
      <c r="EL978" s="156"/>
      <c r="EM978" s="159"/>
      <c r="EN978" s="159"/>
      <c r="EO978" s="156"/>
      <c r="EP978" s="159"/>
      <c r="EQ978" s="159"/>
      <c r="ER978" s="156"/>
      <c r="ES978" s="159"/>
      <c r="ET978" s="159"/>
      <c r="EU978" s="156"/>
      <c r="EV978" s="159"/>
      <c r="EW978" s="159"/>
      <c r="EX978" s="156"/>
      <c r="EY978" s="159"/>
      <c r="EZ978" s="159"/>
      <c r="FA978" s="156"/>
      <c r="FB978" s="159"/>
      <c r="FC978" s="159"/>
      <c r="FD978" s="156"/>
      <c r="FE978" s="159"/>
      <c r="FF978" s="159"/>
      <c r="FG978" s="156"/>
      <c r="FH978" s="159"/>
      <c r="FI978" s="159"/>
      <c r="FJ978" s="156"/>
      <c r="FK978" s="159"/>
      <c r="FL978" s="159"/>
      <c r="FM978" s="156"/>
      <c r="FN978" s="159"/>
      <c r="FO978" s="159"/>
      <c r="FP978" s="156"/>
      <c r="FQ978" s="159"/>
      <c r="FR978" s="159"/>
      <c r="FS978" s="156"/>
      <c r="FT978" s="159"/>
      <c r="FU978" s="159"/>
      <c r="FV978" s="156"/>
      <c r="FW978" s="159"/>
      <c r="FX978" s="159"/>
      <c r="FY978" s="156"/>
      <c r="FZ978" s="159"/>
      <c r="GA978" s="159"/>
      <c r="GB978" s="156"/>
      <c r="GC978" s="159"/>
      <c r="GD978" s="159"/>
      <c r="GE978" s="156"/>
      <c r="GF978" s="159"/>
      <c r="GG978" s="159"/>
      <c r="GH978" s="156"/>
      <c r="GI978" s="159"/>
      <c r="GJ978" s="159"/>
      <c r="GK978" s="156"/>
      <c r="GL978" s="159"/>
      <c r="GM978" s="159"/>
      <c r="GN978" s="156"/>
      <c r="GO978" s="159"/>
      <c r="GP978" s="159"/>
      <c r="GQ978" s="156"/>
      <c r="GR978" s="159"/>
      <c r="GS978" s="159"/>
      <c r="GT978" s="156"/>
      <c r="GU978" s="159"/>
      <c r="GV978" s="159"/>
      <c r="GW978" s="156"/>
      <c r="GX978" s="159"/>
      <c r="GY978" s="159"/>
      <c r="GZ978" s="156"/>
      <c r="HA978" s="159"/>
      <c r="HB978" s="159"/>
      <c r="HC978" s="156"/>
      <c r="HD978" s="159"/>
      <c r="HE978" s="159"/>
      <c r="HF978" s="156"/>
      <c r="HG978" s="159"/>
      <c r="HH978" s="159"/>
      <c r="HI978" s="156"/>
      <c r="HJ978" s="159"/>
      <c r="HK978" s="159"/>
      <c r="HL978" s="156"/>
      <c r="HM978" s="159"/>
      <c r="HN978" s="159"/>
      <c r="HO978" s="156"/>
      <c r="HP978" s="159"/>
      <c r="HQ978" s="159"/>
      <c r="HR978" s="156"/>
      <c r="HS978" s="159"/>
      <c r="HT978" s="159"/>
      <c r="HU978" s="156"/>
      <c r="HV978" s="159"/>
      <c r="HW978" s="159"/>
      <c r="HX978" s="156"/>
      <c r="HY978" s="159"/>
      <c r="HZ978" s="159"/>
      <c r="IA978" s="156"/>
      <c r="IB978" s="159"/>
      <c r="IC978" s="159"/>
      <c r="ID978" s="156"/>
      <c r="IE978" s="159"/>
      <c r="IF978" s="159"/>
      <c r="IG978" s="156"/>
      <c r="IH978" s="159"/>
      <c r="II978" s="159"/>
      <c r="IJ978" s="156"/>
      <c r="IK978" s="159"/>
      <c r="IL978" s="159"/>
      <c r="IM978" s="156"/>
      <c r="IN978" s="159"/>
      <c r="IO978" s="159"/>
      <c r="IP978" s="156"/>
      <c r="IQ978" s="159"/>
      <c r="IR978" s="159"/>
      <c r="IS978" s="156"/>
      <c r="IT978" s="159"/>
      <c r="IU978" s="159"/>
      <c r="IV978" s="156"/>
    </row>
    <row r="979" spans="1:256" ht="15.75">
      <c r="A979" s="132"/>
      <c r="B979" s="118" t="s">
        <v>807</v>
      </c>
      <c r="C979" s="132" t="s">
        <v>806</v>
      </c>
      <c r="D979" s="129"/>
      <c r="E979" s="129"/>
      <c r="F979" s="130"/>
      <c r="G979" s="399" t="s">
        <v>684</v>
      </c>
      <c r="H979" s="120">
        <v>750.33</v>
      </c>
      <c r="I979" s="417">
        <v>27</v>
      </c>
      <c r="J979" s="120">
        <v>24</v>
      </c>
      <c r="K979" s="404"/>
      <c r="L979" s="120">
        <f>J979+K979</f>
        <v>24</v>
      </c>
      <c r="M979" s="120">
        <f t="shared" si="317"/>
        <v>20258.91</v>
      </c>
      <c r="N979" s="120">
        <f t="shared" si="318"/>
        <v>18007.920000000002</v>
      </c>
      <c r="O979" s="404">
        <f t="shared" si="320"/>
        <v>0</v>
      </c>
      <c r="P979" s="127">
        <f>H979*L979</f>
        <v>18007.920000000002</v>
      </c>
      <c r="Q979" s="129"/>
      <c r="R979" s="129"/>
      <c r="S979" s="132"/>
      <c r="T979" s="129"/>
      <c r="U979" s="129"/>
      <c r="V979" s="132"/>
      <c r="W979" s="129"/>
      <c r="X979" s="129"/>
      <c r="Y979" s="132"/>
      <c r="Z979" s="129"/>
      <c r="AA979" s="129"/>
      <c r="AB979" s="132"/>
      <c r="AC979" s="129"/>
      <c r="AD979" s="129"/>
      <c r="AE979" s="132"/>
      <c r="AF979" s="129"/>
      <c r="AG979" s="129"/>
      <c r="AH979" s="132"/>
      <c r="AI979" s="129"/>
      <c r="AJ979" s="129"/>
      <c r="AK979" s="132"/>
      <c r="AL979" s="129"/>
      <c r="AM979" s="129"/>
      <c r="AN979" s="132"/>
      <c r="AO979" s="129"/>
      <c r="AP979" s="129"/>
      <c r="AQ979" s="132"/>
      <c r="AR979" s="129"/>
      <c r="AS979" s="129"/>
      <c r="AT979" s="132"/>
      <c r="AU979" s="129"/>
      <c r="AV979" s="129"/>
      <c r="AW979" s="132"/>
      <c r="AX979" s="129"/>
      <c r="AY979" s="129"/>
      <c r="AZ979" s="132"/>
      <c r="BA979" s="129"/>
      <c r="BB979" s="129"/>
      <c r="BC979" s="132"/>
      <c r="BD979" s="129"/>
      <c r="BE979" s="129"/>
      <c r="BF979" s="132"/>
      <c r="BG979" s="129"/>
      <c r="BH979" s="129"/>
      <c r="BI979" s="132"/>
      <c r="BJ979" s="129"/>
      <c r="BK979" s="129"/>
      <c r="BL979" s="132"/>
      <c r="BM979" s="129"/>
      <c r="BN979" s="129"/>
      <c r="BO979" s="132"/>
      <c r="BP979" s="129"/>
      <c r="BQ979" s="129"/>
      <c r="BR979" s="132"/>
      <c r="BS979" s="129"/>
      <c r="BT979" s="129"/>
      <c r="BU979" s="132"/>
      <c r="BV979" s="129"/>
      <c r="BW979" s="129"/>
      <c r="BX979" s="132"/>
      <c r="BY979" s="129"/>
      <c r="BZ979" s="129"/>
      <c r="CA979" s="132"/>
      <c r="CB979" s="129"/>
      <c r="CC979" s="129"/>
      <c r="CD979" s="132"/>
      <c r="CE979" s="129"/>
      <c r="CF979" s="129"/>
      <c r="CG979" s="132"/>
      <c r="CH979" s="129"/>
      <c r="CI979" s="129"/>
      <c r="CJ979" s="132"/>
      <c r="CK979" s="129"/>
      <c r="CL979" s="129"/>
      <c r="CM979" s="132"/>
      <c r="CN979" s="129"/>
      <c r="CO979" s="129"/>
      <c r="CP979" s="132"/>
      <c r="CQ979" s="129"/>
      <c r="CR979" s="129"/>
      <c r="CS979" s="132"/>
      <c r="CT979" s="129"/>
      <c r="CU979" s="129"/>
      <c r="CV979" s="132"/>
      <c r="CW979" s="129"/>
      <c r="CX979" s="129"/>
      <c r="CY979" s="132"/>
      <c r="CZ979" s="129"/>
      <c r="DA979" s="129"/>
      <c r="DB979" s="132"/>
      <c r="DC979" s="129"/>
      <c r="DD979" s="129"/>
      <c r="DE979" s="132"/>
      <c r="DF979" s="129"/>
      <c r="DG979" s="129"/>
      <c r="DH979" s="132"/>
      <c r="DI979" s="129"/>
      <c r="DJ979" s="129"/>
      <c r="DK979" s="132"/>
      <c r="DL979" s="129"/>
      <c r="DM979" s="129"/>
      <c r="DN979" s="132"/>
      <c r="DO979" s="129"/>
      <c r="DP979" s="129"/>
      <c r="DQ979" s="132"/>
      <c r="DR979" s="129"/>
      <c r="DS979" s="129"/>
      <c r="DT979" s="132"/>
      <c r="DU979" s="129"/>
      <c r="DV979" s="129"/>
      <c r="DW979" s="132"/>
      <c r="DX979" s="129"/>
      <c r="DY979" s="129"/>
      <c r="DZ979" s="132"/>
      <c r="EA979" s="129"/>
      <c r="EB979" s="129"/>
      <c r="EC979" s="132"/>
      <c r="ED979" s="129"/>
      <c r="EE979" s="129"/>
      <c r="EF979" s="132"/>
      <c r="EG979" s="129"/>
      <c r="EH979" s="129"/>
      <c r="EI979" s="132"/>
      <c r="EJ979" s="129"/>
      <c r="EK979" s="129"/>
      <c r="EL979" s="132"/>
      <c r="EM979" s="129"/>
      <c r="EN979" s="129"/>
      <c r="EO979" s="132"/>
      <c r="EP979" s="129"/>
      <c r="EQ979" s="129"/>
      <c r="ER979" s="132"/>
      <c r="ES979" s="129"/>
      <c r="ET979" s="129"/>
      <c r="EU979" s="132"/>
      <c r="EV979" s="129"/>
      <c r="EW979" s="129"/>
      <c r="EX979" s="132"/>
      <c r="EY979" s="129"/>
      <c r="EZ979" s="129"/>
      <c r="FA979" s="132"/>
      <c r="FB979" s="129"/>
      <c r="FC979" s="129"/>
      <c r="FD979" s="132"/>
      <c r="FE979" s="129"/>
      <c r="FF979" s="129"/>
      <c r="FG979" s="132"/>
      <c r="FH979" s="129"/>
      <c r="FI979" s="129"/>
      <c r="FJ979" s="132"/>
      <c r="FK979" s="129"/>
      <c r="FL979" s="129"/>
      <c r="FM979" s="132"/>
      <c r="FN979" s="129"/>
      <c r="FO979" s="129"/>
      <c r="FP979" s="132"/>
      <c r="FQ979" s="129"/>
      <c r="FR979" s="129"/>
      <c r="FS979" s="132"/>
      <c r="FT979" s="129"/>
      <c r="FU979" s="129"/>
      <c r="FV979" s="132"/>
      <c r="FW979" s="129"/>
      <c r="FX979" s="129"/>
      <c r="FY979" s="132"/>
      <c r="FZ979" s="129"/>
      <c r="GA979" s="129"/>
      <c r="GB979" s="132"/>
      <c r="GC979" s="129"/>
      <c r="GD979" s="129"/>
      <c r="GE979" s="132"/>
      <c r="GF979" s="129"/>
      <c r="GG979" s="129"/>
      <c r="GH979" s="132"/>
      <c r="GI979" s="129"/>
      <c r="GJ979" s="129"/>
      <c r="GK979" s="132"/>
      <c r="GL979" s="129"/>
      <c r="GM979" s="129"/>
      <c r="GN979" s="132"/>
      <c r="GO979" s="129"/>
      <c r="GP979" s="129"/>
      <c r="GQ979" s="132"/>
      <c r="GR979" s="129"/>
      <c r="GS979" s="129"/>
      <c r="GT979" s="132"/>
      <c r="GU979" s="129"/>
      <c r="GV979" s="129"/>
      <c r="GW979" s="132"/>
      <c r="GX979" s="129"/>
      <c r="GY979" s="129"/>
      <c r="GZ979" s="132"/>
      <c r="HA979" s="129"/>
      <c r="HB979" s="129"/>
      <c r="HC979" s="132"/>
      <c r="HD979" s="129"/>
      <c r="HE979" s="129"/>
      <c r="HF979" s="132"/>
      <c r="HG979" s="129"/>
      <c r="HH979" s="129"/>
      <c r="HI979" s="132"/>
      <c r="HJ979" s="129"/>
      <c r="HK979" s="129"/>
      <c r="HL979" s="132"/>
      <c r="HM979" s="129"/>
      <c r="HN979" s="129"/>
      <c r="HO979" s="132"/>
      <c r="HP979" s="129"/>
      <c r="HQ979" s="129"/>
      <c r="HR979" s="132"/>
      <c r="HS979" s="129"/>
      <c r="HT979" s="129"/>
      <c r="HU979" s="132"/>
      <c r="HV979" s="129"/>
      <c r="HW979" s="129"/>
      <c r="HX979" s="132"/>
      <c r="HY979" s="129"/>
      <c r="HZ979" s="129"/>
      <c r="IA979" s="132"/>
      <c r="IB979" s="129"/>
      <c r="IC979" s="129"/>
      <c r="ID979" s="132"/>
      <c r="IE979" s="129"/>
      <c r="IF979" s="129"/>
      <c r="IG979" s="132"/>
      <c r="IH979" s="129"/>
      <c r="II979" s="129"/>
      <c r="IJ979" s="132"/>
      <c r="IK979" s="129"/>
      <c r="IL979" s="129"/>
      <c r="IM979" s="132"/>
      <c r="IN979" s="129"/>
      <c r="IO979" s="129"/>
      <c r="IP979" s="132"/>
      <c r="IQ979" s="129"/>
      <c r="IR979" s="129"/>
      <c r="IS979" s="132"/>
      <c r="IT979" s="129"/>
      <c r="IU979" s="129"/>
      <c r="IV979" s="132"/>
    </row>
    <row r="980" spans="1:256" ht="15.75">
      <c r="A980" s="132"/>
      <c r="B980" s="118"/>
      <c r="C980" s="132"/>
      <c r="D980" s="129"/>
      <c r="E980" s="129"/>
      <c r="F980" s="130"/>
      <c r="G980" s="399"/>
      <c r="H980" s="120"/>
      <c r="I980" s="417"/>
      <c r="J980" s="120"/>
      <c r="K980" s="404"/>
      <c r="L980" s="120">
        <f>J980+K980</f>
        <v>0</v>
      </c>
      <c r="M980" s="120">
        <f t="shared" si="317"/>
        <v>0</v>
      </c>
      <c r="N980" s="120">
        <f t="shared" si="318"/>
        <v>0</v>
      </c>
      <c r="O980" s="404">
        <f t="shared" si="320"/>
        <v>0</v>
      </c>
      <c r="P980" s="127">
        <f>H980*L980</f>
        <v>0</v>
      </c>
      <c r="Q980" s="129"/>
      <c r="R980" s="129"/>
      <c r="S980" s="132"/>
      <c r="T980" s="129"/>
      <c r="U980" s="129"/>
      <c r="V980" s="132"/>
      <c r="W980" s="129"/>
      <c r="X980" s="129"/>
      <c r="Y980" s="132"/>
      <c r="Z980" s="129"/>
      <c r="AA980" s="129"/>
      <c r="AB980" s="132"/>
      <c r="AC980" s="129"/>
      <c r="AD980" s="129"/>
      <c r="AE980" s="132"/>
      <c r="AF980" s="129"/>
      <c r="AG980" s="129"/>
      <c r="AH980" s="132"/>
      <c r="AI980" s="129"/>
      <c r="AJ980" s="129"/>
      <c r="AK980" s="132"/>
      <c r="AL980" s="129"/>
      <c r="AM980" s="129"/>
      <c r="AN980" s="132"/>
      <c r="AO980" s="129"/>
      <c r="AP980" s="129"/>
      <c r="AQ980" s="132"/>
      <c r="AR980" s="129"/>
      <c r="AS980" s="129"/>
      <c r="AT980" s="132"/>
      <c r="AU980" s="129"/>
      <c r="AV980" s="129"/>
      <c r="AW980" s="132"/>
      <c r="AX980" s="129"/>
      <c r="AY980" s="129"/>
      <c r="AZ980" s="132"/>
      <c r="BA980" s="129"/>
      <c r="BB980" s="129"/>
      <c r="BC980" s="132"/>
      <c r="BD980" s="129"/>
      <c r="BE980" s="129"/>
      <c r="BF980" s="132"/>
      <c r="BG980" s="129"/>
      <c r="BH980" s="129"/>
      <c r="BI980" s="132"/>
      <c r="BJ980" s="129"/>
      <c r="BK980" s="129"/>
      <c r="BL980" s="132"/>
      <c r="BM980" s="129"/>
      <c r="BN980" s="129"/>
      <c r="BO980" s="132"/>
      <c r="BP980" s="129"/>
      <c r="BQ980" s="129"/>
      <c r="BR980" s="132"/>
      <c r="BS980" s="129"/>
      <c r="BT980" s="129"/>
      <c r="BU980" s="132"/>
      <c r="BV980" s="129"/>
      <c r="BW980" s="129"/>
      <c r="BX980" s="132"/>
      <c r="BY980" s="129"/>
      <c r="BZ980" s="129"/>
      <c r="CA980" s="132"/>
      <c r="CB980" s="129"/>
      <c r="CC980" s="129"/>
      <c r="CD980" s="132"/>
      <c r="CE980" s="129"/>
      <c r="CF980" s="129"/>
      <c r="CG980" s="132"/>
      <c r="CH980" s="129"/>
      <c r="CI980" s="129"/>
      <c r="CJ980" s="132"/>
      <c r="CK980" s="129"/>
      <c r="CL980" s="129"/>
      <c r="CM980" s="132"/>
      <c r="CN980" s="129"/>
      <c r="CO980" s="129"/>
      <c r="CP980" s="132"/>
      <c r="CQ980" s="129"/>
      <c r="CR980" s="129"/>
      <c r="CS980" s="132"/>
      <c r="CT980" s="129"/>
      <c r="CU980" s="129"/>
      <c r="CV980" s="132"/>
      <c r="CW980" s="129"/>
      <c r="CX980" s="129"/>
      <c r="CY980" s="132"/>
      <c r="CZ980" s="129"/>
      <c r="DA980" s="129"/>
      <c r="DB980" s="132"/>
      <c r="DC980" s="129"/>
      <c r="DD980" s="129"/>
      <c r="DE980" s="132"/>
      <c r="DF980" s="129"/>
      <c r="DG980" s="129"/>
      <c r="DH980" s="132"/>
      <c r="DI980" s="129"/>
      <c r="DJ980" s="129"/>
      <c r="DK980" s="132"/>
      <c r="DL980" s="129"/>
      <c r="DM980" s="129"/>
      <c r="DN980" s="132"/>
      <c r="DO980" s="129"/>
      <c r="DP980" s="129"/>
      <c r="DQ980" s="132"/>
      <c r="DR980" s="129"/>
      <c r="DS980" s="129"/>
      <c r="DT980" s="132"/>
      <c r="DU980" s="129"/>
      <c r="DV980" s="129"/>
      <c r="DW980" s="132"/>
      <c r="DX980" s="129"/>
      <c r="DY980" s="129"/>
      <c r="DZ980" s="132"/>
      <c r="EA980" s="129"/>
      <c r="EB980" s="129"/>
      <c r="EC980" s="132"/>
      <c r="ED980" s="129"/>
      <c r="EE980" s="129"/>
      <c r="EF980" s="132"/>
      <c r="EG980" s="129"/>
      <c r="EH980" s="129"/>
      <c r="EI980" s="132"/>
      <c r="EJ980" s="129"/>
      <c r="EK980" s="129"/>
      <c r="EL980" s="132"/>
      <c r="EM980" s="129"/>
      <c r="EN980" s="129"/>
      <c r="EO980" s="132"/>
      <c r="EP980" s="129"/>
      <c r="EQ980" s="129"/>
      <c r="ER980" s="132"/>
      <c r="ES980" s="129"/>
      <c r="ET980" s="129"/>
      <c r="EU980" s="132"/>
      <c r="EV980" s="129"/>
      <c r="EW980" s="129"/>
      <c r="EX980" s="132"/>
      <c r="EY980" s="129"/>
      <c r="EZ980" s="129"/>
      <c r="FA980" s="132"/>
      <c r="FB980" s="129"/>
      <c r="FC980" s="129"/>
      <c r="FD980" s="132"/>
      <c r="FE980" s="129"/>
      <c r="FF980" s="129"/>
      <c r="FG980" s="132"/>
      <c r="FH980" s="129"/>
      <c r="FI980" s="129"/>
      <c r="FJ980" s="132"/>
      <c r="FK980" s="129"/>
      <c r="FL980" s="129"/>
      <c r="FM980" s="132"/>
      <c r="FN980" s="129"/>
      <c r="FO980" s="129"/>
      <c r="FP980" s="132"/>
      <c r="FQ980" s="129"/>
      <c r="FR980" s="129"/>
      <c r="FS980" s="132"/>
      <c r="FT980" s="129"/>
      <c r="FU980" s="129"/>
      <c r="FV980" s="132"/>
      <c r="FW980" s="129"/>
      <c r="FX980" s="129"/>
      <c r="FY980" s="132"/>
      <c r="FZ980" s="129"/>
      <c r="GA980" s="129"/>
      <c r="GB980" s="132"/>
      <c r="GC980" s="129"/>
      <c r="GD980" s="129"/>
      <c r="GE980" s="132"/>
      <c r="GF980" s="129"/>
      <c r="GG980" s="129"/>
      <c r="GH980" s="132"/>
      <c r="GI980" s="129"/>
      <c r="GJ980" s="129"/>
      <c r="GK980" s="132"/>
      <c r="GL980" s="129"/>
      <c r="GM980" s="129"/>
      <c r="GN980" s="132"/>
      <c r="GO980" s="129"/>
      <c r="GP980" s="129"/>
      <c r="GQ980" s="132"/>
      <c r="GR980" s="129"/>
      <c r="GS980" s="129"/>
      <c r="GT980" s="132"/>
      <c r="GU980" s="129"/>
      <c r="GV980" s="129"/>
      <c r="GW980" s="132"/>
      <c r="GX980" s="129"/>
      <c r="GY980" s="129"/>
      <c r="GZ980" s="132"/>
      <c r="HA980" s="129"/>
      <c r="HB980" s="129"/>
      <c r="HC980" s="132"/>
      <c r="HD980" s="129"/>
      <c r="HE980" s="129"/>
      <c r="HF980" s="132"/>
      <c r="HG980" s="129"/>
      <c r="HH980" s="129"/>
      <c r="HI980" s="132"/>
      <c r="HJ980" s="129"/>
      <c r="HK980" s="129"/>
      <c r="HL980" s="132"/>
      <c r="HM980" s="129"/>
      <c r="HN980" s="129"/>
      <c r="HO980" s="132"/>
      <c r="HP980" s="129"/>
      <c r="HQ980" s="129"/>
      <c r="HR980" s="132"/>
      <c r="HS980" s="129"/>
      <c r="HT980" s="129"/>
      <c r="HU980" s="132"/>
      <c r="HV980" s="129"/>
      <c r="HW980" s="129"/>
      <c r="HX980" s="132"/>
      <c r="HY980" s="129"/>
      <c r="HZ980" s="129"/>
      <c r="IA980" s="132"/>
      <c r="IB980" s="129"/>
      <c r="IC980" s="129"/>
      <c r="ID980" s="132"/>
      <c r="IE980" s="129"/>
      <c r="IF980" s="129"/>
      <c r="IG980" s="132"/>
      <c r="IH980" s="129"/>
      <c r="II980" s="129"/>
      <c r="IJ980" s="132"/>
      <c r="IK980" s="129"/>
      <c r="IL980" s="129"/>
      <c r="IM980" s="132"/>
      <c r="IN980" s="129"/>
      <c r="IO980" s="129"/>
      <c r="IP980" s="132"/>
      <c r="IQ980" s="129"/>
      <c r="IR980" s="129"/>
      <c r="IS980" s="132"/>
      <c r="IT980" s="129"/>
      <c r="IU980" s="129"/>
      <c r="IV980" s="132"/>
    </row>
    <row r="981" spans="1:256" ht="15.75">
      <c r="A981" s="156"/>
      <c r="B981" s="147"/>
      <c r="C981" s="132"/>
      <c r="D981" s="129"/>
      <c r="E981" s="129"/>
      <c r="F981" s="130"/>
      <c r="G981" s="399"/>
      <c r="H981" s="120"/>
      <c r="I981" s="417"/>
      <c r="J981" s="120"/>
      <c r="K981" s="404"/>
      <c r="L981" s="120"/>
      <c r="M981" s="120"/>
      <c r="N981" s="120">
        <f t="shared" si="318"/>
        <v>0</v>
      </c>
      <c r="O981" s="404">
        <f t="shared" si="320"/>
        <v>0</v>
      </c>
      <c r="P981" s="127"/>
      <c r="Q981" s="159"/>
      <c r="R981" s="159"/>
      <c r="S981" s="156"/>
      <c r="T981" s="159"/>
      <c r="U981" s="159"/>
      <c r="V981" s="156"/>
      <c r="W981" s="159"/>
      <c r="X981" s="159"/>
      <c r="Y981" s="156"/>
      <c r="Z981" s="159"/>
      <c r="AA981" s="159"/>
      <c r="AB981" s="156"/>
      <c r="AC981" s="159"/>
      <c r="AD981" s="159"/>
      <c r="AE981" s="156"/>
      <c r="AF981" s="159"/>
      <c r="AG981" s="159"/>
      <c r="AH981" s="156"/>
      <c r="AI981" s="159"/>
      <c r="AJ981" s="159"/>
      <c r="AK981" s="156"/>
      <c r="AL981" s="159"/>
      <c r="AM981" s="159"/>
      <c r="AN981" s="156"/>
      <c r="AO981" s="159"/>
      <c r="AP981" s="159"/>
      <c r="AQ981" s="156"/>
      <c r="AR981" s="159"/>
      <c r="AS981" s="159"/>
      <c r="AT981" s="156"/>
      <c r="AU981" s="159"/>
      <c r="AV981" s="159"/>
      <c r="AW981" s="156"/>
      <c r="AX981" s="159"/>
      <c r="AY981" s="159"/>
      <c r="AZ981" s="156"/>
      <c r="BA981" s="159"/>
      <c r="BB981" s="159"/>
      <c r="BC981" s="156"/>
      <c r="BD981" s="159"/>
      <c r="BE981" s="159"/>
      <c r="BF981" s="156"/>
      <c r="BG981" s="159"/>
      <c r="BH981" s="159"/>
      <c r="BI981" s="156"/>
      <c r="BJ981" s="159"/>
      <c r="BK981" s="159"/>
      <c r="BL981" s="156"/>
      <c r="BM981" s="159"/>
      <c r="BN981" s="159"/>
      <c r="BO981" s="156"/>
      <c r="BP981" s="159"/>
      <c r="BQ981" s="159"/>
      <c r="BR981" s="156"/>
      <c r="BS981" s="159"/>
      <c r="BT981" s="159"/>
      <c r="BU981" s="156"/>
      <c r="BV981" s="159"/>
      <c r="BW981" s="159"/>
      <c r="BX981" s="156"/>
      <c r="BY981" s="159"/>
      <c r="BZ981" s="159"/>
      <c r="CA981" s="156"/>
      <c r="CB981" s="159"/>
      <c r="CC981" s="159"/>
      <c r="CD981" s="156"/>
      <c r="CE981" s="159"/>
      <c r="CF981" s="159"/>
      <c r="CG981" s="156"/>
      <c r="CH981" s="159"/>
      <c r="CI981" s="159"/>
      <c r="CJ981" s="156"/>
      <c r="CK981" s="159"/>
      <c r="CL981" s="159"/>
      <c r="CM981" s="156"/>
      <c r="CN981" s="159"/>
      <c r="CO981" s="159"/>
      <c r="CP981" s="156"/>
      <c r="CQ981" s="159"/>
      <c r="CR981" s="159"/>
      <c r="CS981" s="156"/>
      <c r="CT981" s="159"/>
      <c r="CU981" s="159"/>
      <c r="CV981" s="156"/>
      <c r="CW981" s="159"/>
      <c r="CX981" s="159"/>
      <c r="CY981" s="156"/>
      <c r="CZ981" s="159"/>
      <c r="DA981" s="159"/>
      <c r="DB981" s="156"/>
      <c r="DC981" s="159"/>
      <c r="DD981" s="159"/>
      <c r="DE981" s="156"/>
      <c r="DF981" s="159"/>
      <c r="DG981" s="159"/>
      <c r="DH981" s="156"/>
      <c r="DI981" s="159"/>
      <c r="DJ981" s="159"/>
      <c r="DK981" s="156"/>
      <c r="DL981" s="159"/>
      <c r="DM981" s="159"/>
      <c r="DN981" s="156"/>
      <c r="DO981" s="159"/>
      <c r="DP981" s="159"/>
      <c r="DQ981" s="156"/>
      <c r="DR981" s="159"/>
      <c r="DS981" s="159"/>
      <c r="DT981" s="156"/>
      <c r="DU981" s="159"/>
      <c r="DV981" s="159"/>
      <c r="DW981" s="156"/>
      <c r="DX981" s="159"/>
      <c r="DY981" s="159"/>
      <c r="DZ981" s="156"/>
      <c r="EA981" s="159"/>
      <c r="EB981" s="159"/>
      <c r="EC981" s="156"/>
      <c r="ED981" s="159"/>
      <c r="EE981" s="159"/>
      <c r="EF981" s="156"/>
      <c r="EG981" s="159"/>
      <c r="EH981" s="159"/>
      <c r="EI981" s="156"/>
      <c r="EJ981" s="159"/>
      <c r="EK981" s="159"/>
      <c r="EL981" s="156"/>
      <c r="EM981" s="159"/>
      <c r="EN981" s="159"/>
      <c r="EO981" s="156"/>
      <c r="EP981" s="159"/>
      <c r="EQ981" s="159"/>
      <c r="ER981" s="156"/>
      <c r="ES981" s="159"/>
      <c r="ET981" s="159"/>
      <c r="EU981" s="156"/>
      <c r="EV981" s="159"/>
      <c r="EW981" s="159"/>
      <c r="EX981" s="156"/>
      <c r="EY981" s="159"/>
      <c r="EZ981" s="159"/>
      <c r="FA981" s="156"/>
      <c r="FB981" s="159"/>
      <c r="FC981" s="159"/>
      <c r="FD981" s="156"/>
      <c r="FE981" s="159"/>
      <c r="FF981" s="159"/>
      <c r="FG981" s="156"/>
      <c r="FH981" s="159"/>
      <c r="FI981" s="159"/>
      <c r="FJ981" s="156"/>
      <c r="FK981" s="159"/>
      <c r="FL981" s="159"/>
      <c r="FM981" s="156"/>
      <c r="FN981" s="159"/>
      <c r="FO981" s="159"/>
      <c r="FP981" s="156"/>
      <c r="FQ981" s="159"/>
      <c r="FR981" s="159"/>
      <c r="FS981" s="156"/>
      <c r="FT981" s="159"/>
      <c r="FU981" s="159"/>
      <c r="FV981" s="156"/>
      <c r="FW981" s="159"/>
      <c r="FX981" s="159"/>
      <c r="FY981" s="156"/>
      <c r="FZ981" s="159"/>
      <c r="GA981" s="159"/>
      <c r="GB981" s="156"/>
      <c r="GC981" s="159"/>
      <c r="GD981" s="159"/>
      <c r="GE981" s="156"/>
      <c r="GF981" s="159"/>
      <c r="GG981" s="159"/>
      <c r="GH981" s="156"/>
      <c r="GI981" s="159"/>
      <c r="GJ981" s="159"/>
      <c r="GK981" s="156"/>
      <c r="GL981" s="159"/>
      <c r="GM981" s="159"/>
      <c r="GN981" s="156"/>
      <c r="GO981" s="159"/>
      <c r="GP981" s="159"/>
      <c r="GQ981" s="156"/>
      <c r="GR981" s="159"/>
      <c r="GS981" s="159"/>
      <c r="GT981" s="156"/>
      <c r="GU981" s="159"/>
      <c r="GV981" s="159"/>
      <c r="GW981" s="156"/>
      <c r="GX981" s="159"/>
      <c r="GY981" s="159"/>
      <c r="GZ981" s="156"/>
      <c r="HA981" s="159"/>
      <c r="HB981" s="159"/>
      <c r="HC981" s="156"/>
      <c r="HD981" s="159"/>
      <c r="HE981" s="159"/>
      <c r="HF981" s="156"/>
      <c r="HG981" s="159"/>
      <c r="HH981" s="159"/>
      <c r="HI981" s="156"/>
      <c r="HJ981" s="159"/>
      <c r="HK981" s="159"/>
      <c r="HL981" s="156"/>
      <c r="HM981" s="159"/>
      <c r="HN981" s="159"/>
      <c r="HO981" s="156"/>
      <c r="HP981" s="159"/>
      <c r="HQ981" s="159"/>
      <c r="HR981" s="156"/>
      <c r="HS981" s="159"/>
      <c r="HT981" s="159"/>
      <c r="HU981" s="156"/>
      <c r="HV981" s="159"/>
      <c r="HW981" s="159"/>
      <c r="HX981" s="156"/>
      <c r="HY981" s="159"/>
      <c r="HZ981" s="159"/>
      <c r="IA981" s="156"/>
      <c r="IB981" s="159"/>
      <c r="IC981" s="159"/>
      <c r="ID981" s="156"/>
      <c r="IE981" s="159"/>
      <c r="IF981" s="159"/>
      <c r="IG981" s="156"/>
      <c r="IH981" s="159"/>
      <c r="II981" s="159"/>
      <c r="IJ981" s="156"/>
      <c r="IK981" s="159"/>
      <c r="IL981" s="159"/>
      <c r="IM981" s="156"/>
      <c r="IN981" s="159"/>
      <c r="IO981" s="159"/>
      <c r="IP981" s="156"/>
      <c r="IQ981" s="159"/>
      <c r="IR981" s="159"/>
      <c r="IS981" s="156"/>
      <c r="IT981" s="159"/>
      <c r="IU981" s="159"/>
      <c r="IV981" s="156"/>
    </row>
    <row r="982" spans="1:256" ht="15.75">
      <c r="A982" s="132"/>
      <c r="B982" s="118" t="s">
        <v>808</v>
      </c>
      <c r="C982" s="132" t="s">
        <v>809</v>
      </c>
      <c r="D982" s="129"/>
      <c r="E982" s="129"/>
      <c r="F982" s="130"/>
      <c r="G982" s="399" t="s">
        <v>842</v>
      </c>
      <c r="H982" s="120">
        <v>200.44</v>
      </c>
      <c r="I982" s="417">
        <v>48</v>
      </c>
      <c r="J982" s="120">
        <v>42</v>
      </c>
      <c r="K982" s="404"/>
      <c r="L982" s="120">
        <f>J982+K982</f>
        <v>42</v>
      </c>
      <c r="M982" s="120">
        <f>H982*I982</f>
        <v>9621.119999999999</v>
      </c>
      <c r="N982" s="120">
        <f t="shared" si="318"/>
        <v>8418.48</v>
      </c>
      <c r="O982" s="404">
        <f t="shared" si="320"/>
        <v>0</v>
      </c>
      <c r="P982" s="127">
        <f>H982*L982</f>
        <v>8418.48</v>
      </c>
      <c r="Q982" s="129"/>
      <c r="R982" s="129"/>
      <c r="S982" s="132"/>
      <c r="T982" s="129"/>
      <c r="U982" s="129"/>
      <c r="V982" s="132"/>
      <c r="W982" s="129"/>
      <c r="X982" s="129"/>
      <c r="Y982" s="132"/>
      <c r="Z982" s="129"/>
      <c r="AA982" s="129"/>
      <c r="AB982" s="132"/>
      <c r="AC982" s="129"/>
      <c r="AD982" s="129"/>
      <c r="AE982" s="132"/>
      <c r="AF982" s="129"/>
      <c r="AG982" s="129"/>
      <c r="AH982" s="132"/>
      <c r="AI982" s="129"/>
      <c r="AJ982" s="129"/>
      <c r="AK982" s="132"/>
      <c r="AL982" s="129"/>
      <c r="AM982" s="129"/>
      <c r="AN982" s="132"/>
      <c r="AO982" s="129"/>
      <c r="AP982" s="129"/>
      <c r="AQ982" s="132"/>
      <c r="AR982" s="129"/>
      <c r="AS982" s="129"/>
      <c r="AT982" s="132"/>
      <c r="AU982" s="129"/>
      <c r="AV982" s="129"/>
      <c r="AW982" s="132"/>
      <c r="AX982" s="129"/>
      <c r="AY982" s="129"/>
      <c r="AZ982" s="132"/>
      <c r="BA982" s="129"/>
      <c r="BB982" s="129"/>
      <c r="BC982" s="132"/>
      <c r="BD982" s="129"/>
      <c r="BE982" s="129"/>
      <c r="BF982" s="132"/>
      <c r="BG982" s="129"/>
      <c r="BH982" s="129"/>
      <c r="BI982" s="132"/>
      <c r="BJ982" s="129"/>
      <c r="BK982" s="129"/>
      <c r="BL982" s="132"/>
      <c r="BM982" s="129"/>
      <c r="BN982" s="129"/>
      <c r="BO982" s="132"/>
      <c r="BP982" s="129"/>
      <c r="BQ982" s="129"/>
      <c r="BR982" s="132"/>
      <c r="BS982" s="129"/>
      <c r="BT982" s="129"/>
      <c r="BU982" s="132"/>
      <c r="BV982" s="129"/>
      <c r="BW982" s="129"/>
      <c r="BX982" s="132"/>
      <c r="BY982" s="129"/>
      <c r="BZ982" s="129"/>
      <c r="CA982" s="132"/>
      <c r="CB982" s="129"/>
      <c r="CC982" s="129"/>
      <c r="CD982" s="132"/>
      <c r="CE982" s="129"/>
      <c r="CF982" s="129"/>
      <c r="CG982" s="132"/>
      <c r="CH982" s="129"/>
      <c r="CI982" s="129"/>
      <c r="CJ982" s="132"/>
      <c r="CK982" s="129"/>
      <c r="CL982" s="129"/>
      <c r="CM982" s="132"/>
      <c r="CN982" s="129"/>
      <c r="CO982" s="129"/>
      <c r="CP982" s="132"/>
      <c r="CQ982" s="129"/>
      <c r="CR982" s="129"/>
      <c r="CS982" s="132"/>
      <c r="CT982" s="129"/>
      <c r="CU982" s="129"/>
      <c r="CV982" s="132"/>
      <c r="CW982" s="129"/>
      <c r="CX982" s="129"/>
      <c r="CY982" s="132"/>
      <c r="CZ982" s="129"/>
      <c r="DA982" s="129"/>
      <c r="DB982" s="132"/>
      <c r="DC982" s="129"/>
      <c r="DD982" s="129"/>
      <c r="DE982" s="132"/>
      <c r="DF982" s="129"/>
      <c r="DG982" s="129"/>
      <c r="DH982" s="132"/>
      <c r="DI982" s="129"/>
      <c r="DJ982" s="129"/>
      <c r="DK982" s="132"/>
      <c r="DL982" s="129"/>
      <c r="DM982" s="129"/>
      <c r="DN982" s="132"/>
      <c r="DO982" s="129"/>
      <c r="DP982" s="129"/>
      <c r="DQ982" s="132"/>
      <c r="DR982" s="129"/>
      <c r="DS982" s="129"/>
      <c r="DT982" s="132"/>
      <c r="DU982" s="129"/>
      <c r="DV982" s="129"/>
      <c r="DW982" s="132"/>
      <c r="DX982" s="129"/>
      <c r="DY982" s="129"/>
      <c r="DZ982" s="132"/>
      <c r="EA982" s="129"/>
      <c r="EB982" s="129"/>
      <c r="EC982" s="132"/>
      <c r="ED982" s="129"/>
      <c r="EE982" s="129"/>
      <c r="EF982" s="132"/>
      <c r="EG982" s="129"/>
      <c r="EH982" s="129"/>
      <c r="EI982" s="132"/>
      <c r="EJ982" s="129"/>
      <c r="EK982" s="129"/>
      <c r="EL982" s="132"/>
      <c r="EM982" s="129"/>
      <c r="EN982" s="129"/>
      <c r="EO982" s="132"/>
      <c r="EP982" s="129"/>
      <c r="EQ982" s="129"/>
      <c r="ER982" s="132"/>
      <c r="ES982" s="129"/>
      <c r="ET982" s="129"/>
      <c r="EU982" s="132"/>
      <c r="EV982" s="129"/>
      <c r="EW982" s="129"/>
      <c r="EX982" s="132"/>
      <c r="EY982" s="129"/>
      <c r="EZ982" s="129"/>
      <c r="FA982" s="132"/>
      <c r="FB982" s="129"/>
      <c r="FC982" s="129"/>
      <c r="FD982" s="132"/>
      <c r="FE982" s="129"/>
      <c r="FF982" s="129"/>
      <c r="FG982" s="132"/>
      <c r="FH982" s="129"/>
      <c r="FI982" s="129"/>
      <c r="FJ982" s="132"/>
      <c r="FK982" s="129"/>
      <c r="FL982" s="129"/>
      <c r="FM982" s="132"/>
      <c r="FN982" s="129"/>
      <c r="FO982" s="129"/>
      <c r="FP982" s="132"/>
      <c r="FQ982" s="129"/>
      <c r="FR982" s="129"/>
      <c r="FS982" s="132"/>
      <c r="FT982" s="129"/>
      <c r="FU982" s="129"/>
      <c r="FV982" s="132"/>
      <c r="FW982" s="129"/>
      <c r="FX982" s="129"/>
      <c r="FY982" s="132"/>
      <c r="FZ982" s="129"/>
      <c r="GA982" s="129"/>
      <c r="GB982" s="132"/>
      <c r="GC982" s="129"/>
      <c r="GD982" s="129"/>
      <c r="GE982" s="132"/>
      <c r="GF982" s="129"/>
      <c r="GG982" s="129"/>
      <c r="GH982" s="132"/>
      <c r="GI982" s="129"/>
      <c r="GJ982" s="129"/>
      <c r="GK982" s="132"/>
      <c r="GL982" s="129"/>
      <c r="GM982" s="129"/>
      <c r="GN982" s="132"/>
      <c r="GO982" s="129"/>
      <c r="GP982" s="129"/>
      <c r="GQ982" s="132"/>
      <c r="GR982" s="129"/>
      <c r="GS982" s="129"/>
      <c r="GT982" s="132"/>
      <c r="GU982" s="129"/>
      <c r="GV982" s="129"/>
      <c r="GW982" s="132"/>
      <c r="GX982" s="129"/>
      <c r="GY982" s="129"/>
      <c r="GZ982" s="132"/>
      <c r="HA982" s="129"/>
      <c r="HB982" s="129"/>
      <c r="HC982" s="132"/>
      <c r="HD982" s="129"/>
      <c r="HE982" s="129"/>
      <c r="HF982" s="132"/>
      <c r="HG982" s="129"/>
      <c r="HH982" s="129"/>
      <c r="HI982" s="132"/>
      <c r="HJ982" s="129"/>
      <c r="HK982" s="129"/>
      <c r="HL982" s="132"/>
      <c r="HM982" s="129"/>
      <c r="HN982" s="129"/>
      <c r="HO982" s="132"/>
      <c r="HP982" s="129"/>
      <c r="HQ982" s="129"/>
      <c r="HR982" s="132"/>
      <c r="HS982" s="129"/>
      <c r="HT982" s="129"/>
      <c r="HU982" s="132"/>
      <c r="HV982" s="129"/>
      <c r="HW982" s="129"/>
      <c r="HX982" s="132"/>
      <c r="HY982" s="129"/>
      <c r="HZ982" s="129"/>
      <c r="IA982" s="132"/>
      <c r="IB982" s="129"/>
      <c r="IC982" s="129"/>
      <c r="ID982" s="132"/>
      <c r="IE982" s="129"/>
      <c r="IF982" s="129"/>
      <c r="IG982" s="132"/>
      <c r="IH982" s="129"/>
      <c r="II982" s="129"/>
      <c r="IJ982" s="132"/>
      <c r="IK982" s="129"/>
      <c r="IL982" s="129"/>
      <c r="IM982" s="132"/>
      <c r="IN982" s="129"/>
      <c r="IO982" s="129"/>
      <c r="IP982" s="132"/>
      <c r="IQ982" s="129"/>
      <c r="IR982" s="129"/>
      <c r="IS982" s="132"/>
      <c r="IT982" s="129"/>
      <c r="IU982" s="129"/>
      <c r="IV982" s="132"/>
    </row>
    <row r="983" spans="1:256" ht="15.75">
      <c r="A983" s="132"/>
      <c r="B983" s="118"/>
      <c r="C983" s="132"/>
      <c r="D983" s="129"/>
      <c r="E983" s="129"/>
      <c r="F983" s="130"/>
      <c r="G983" s="399"/>
      <c r="H983" s="120"/>
      <c r="I983" s="417"/>
      <c r="J983" s="120"/>
      <c r="K983" s="404"/>
      <c r="L983" s="120">
        <f>J983+K983</f>
        <v>0</v>
      </c>
      <c r="M983" s="120">
        <f>H983*I983</f>
        <v>0</v>
      </c>
      <c r="N983" s="120">
        <f t="shared" si="318"/>
        <v>0</v>
      </c>
      <c r="O983" s="404">
        <f t="shared" si="320"/>
        <v>0</v>
      </c>
      <c r="P983" s="127">
        <f>H983*L983</f>
        <v>0</v>
      </c>
      <c r="Q983" s="129"/>
      <c r="R983" s="129"/>
      <c r="S983" s="132"/>
      <c r="T983" s="129"/>
      <c r="U983" s="129"/>
      <c r="V983" s="132"/>
      <c r="W983" s="129"/>
      <c r="X983" s="129"/>
      <c r="Y983" s="132"/>
      <c r="Z983" s="129"/>
      <c r="AA983" s="129"/>
      <c r="AB983" s="132"/>
      <c r="AC983" s="129"/>
      <c r="AD983" s="129"/>
      <c r="AE983" s="132"/>
      <c r="AF983" s="129"/>
      <c r="AG983" s="129"/>
      <c r="AH983" s="132"/>
      <c r="AI983" s="129"/>
      <c r="AJ983" s="129"/>
      <c r="AK983" s="132"/>
      <c r="AL983" s="129"/>
      <c r="AM983" s="129"/>
      <c r="AN983" s="132"/>
      <c r="AO983" s="129"/>
      <c r="AP983" s="129"/>
      <c r="AQ983" s="132"/>
      <c r="AR983" s="129"/>
      <c r="AS983" s="129"/>
      <c r="AT983" s="132"/>
      <c r="AU983" s="129"/>
      <c r="AV983" s="129"/>
      <c r="AW983" s="132"/>
      <c r="AX983" s="129"/>
      <c r="AY983" s="129"/>
      <c r="AZ983" s="132"/>
      <c r="BA983" s="129"/>
      <c r="BB983" s="129"/>
      <c r="BC983" s="132"/>
      <c r="BD983" s="129"/>
      <c r="BE983" s="129"/>
      <c r="BF983" s="132"/>
      <c r="BG983" s="129"/>
      <c r="BH983" s="129"/>
      <c r="BI983" s="132"/>
      <c r="BJ983" s="129"/>
      <c r="BK983" s="129"/>
      <c r="BL983" s="132"/>
      <c r="BM983" s="129"/>
      <c r="BN983" s="129"/>
      <c r="BO983" s="132"/>
      <c r="BP983" s="129"/>
      <c r="BQ983" s="129"/>
      <c r="BR983" s="132"/>
      <c r="BS983" s="129"/>
      <c r="BT983" s="129"/>
      <c r="BU983" s="132"/>
      <c r="BV983" s="129"/>
      <c r="BW983" s="129"/>
      <c r="BX983" s="132"/>
      <c r="BY983" s="129"/>
      <c r="BZ983" s="129"/>
      <c r="CA983" s="132"/>
      <c r="CB983" s="129"/>
      <c r="CC983" s="129"/>
      <c r="CD983" s="132"/>
      <c r="CE983" s="129"/>
      <c r="CF983" s="129"/>
      <c r="CG983" s="132"/>
      <c r="CH983" s="129"/>
      <c r="CI983" s="129"/>
      <c r="CJ983" s="132"/>
      <c r="CK983" s="129"/>
      <c r="CL983" s="129"/>
      <c r="CM983" s="132"/>
      <c r="CN983" s="129"/>
      <c r="CO983" s="129"/>
      <c r="CP983" s="132"/>
      <c r="CQ983" s="129"/>
      <c r="CR983" s="129"/>
      <c r="CS983" s="132"/>
      <c r="CT983" s="129"/>
      <c r="CU983" s="129"/>
      <c r="CV983" s="132"/>
      <c r="CW983" s="129"/>
      <c r="CX983" s="129"/>
      <c r="CY983" s="132"/>
      <c r="CZ983" s="129"/>
      <c r="DA983" s="129"/>
      <c r="DB983" s="132"/>
      <c r="DC983" s="129"/>
      <c r="DD983" s="129"/>
      <c r="DE983" s="132"/>
      <c r="DF983" s="129"/>
      <c r="DG983" s="129"/>
      <c r="DH983" s="132"/>
      <c r="DI983" s="129"/>
      <c r="DJ983" s="129"/>
      <c r="DK983" s="132"/>
      <c r="DL983" s="129"/>
      <c r="DM983" s="129"/>
      <c r="DN983" s="132"/>
      <c r="DO983" s="129"/>
      <c r="DP983" s="129"/>
      <c r="DQ983" s="132"/>
      <c r="DR983" s="129"/>
      <c r="DS983" s="129"/>
      <c r="DT983" s="132"/>
      <c r="DU983" s="129"/>
      <c r="DV983" s="129"/>
      <c r="DW983" s="132"/>
      <c r="DX983" s="129"/>
      <c r="DY983" s="129"/>
      <c r="DZ983" s="132"/>
      <c r="EA983" s="129"/>
      <c r="EB983" s="129"/>
      <c r="EC983" s="132"/>
      <c r="ED983" s="129"/>
      <c r="EE983" s="129"/>
      <c r="EF983" s="132"/>
      <c r="EG983" s="129"/>
      <c r="EH983" s="129"/>
      <c r="EI983" s="132"/>
      <c r="EJ983" s="129"/>
      <c r="EK983" s="129"/>
      <c r="EL983" s="132"/>
      <c r="EM983" s="129"/>
      <c r="EN983" s="129"/>
      <c r="EO983" s="132"/>
      <c r="EP983" s="129"/>
      <c r="EQ983" s="129"/>
      <c r="ER983" s="132"/>
      <c r="ES983" s="129"/>
      <c r="ET983" s="129"/>
      <c r="EU983" s="132"/>
      <c r="EV983" s="129"/>
      <c r="EW983" s="129"/>
      <c r="EX983" s="132"/>
      <c r="EY983" s="129"/>
      <c r="EZ983" s="129"/>
      <c r="FA983" s="132"/>
      <c r="FB983" s="129"/>
      <c r="FC983" s="129"/>
      <c r="FD983" s="132"/>
      <c r="FE983" s="129"/>
      <c r="FF983" s="129"/>
      <c r="FG983" s="132"/>
      <c r="FH983" s="129"/>
      <c r="FI983" s="129"/>
      <c r="FJ983" s="132"/>
      <c r="FK983" s="129"/>
      <c r="FL983" s="129"/>
      <c r="FM983" s="132"/>
      <c r="FN983" s="129"/>
      <c r="FO983" s="129"/>
      <c r="FP983" s="132"/>
      <c r="FQ983" s="129"/>
      <c r="FR983" s="129"/>
      <c r="FS983" s="132"/>
      <c r="FT983" s="129"/>
      <c r="FU983" s="129"/>
      <c r="FV983" s="132"/>
      <c r="FW983" s="129"/>
      <c r="FX983" s="129"/>
      <c r="FY983" s="132"/>
      <c r="FZ983" s="129"/>
      <c r="GA983" s="129"/>
      <c r="GB983" s="132"/>
      <c r="GC983" s="129"/>
      <c r="GD983" s="129"/>
      <c r="GE983" s="132"/>
      <c r="GF983" s="129"/>
      <c r="GG983" s="129"/>
      <c r="GH983" s="132"/>
      <c r="GI983" s="129"/>
      <c r="GJ983" s="129"/>
      <c r="GK983" s="132"/>
      <c r="GL983" s="129"/>
      <c r="GM983" s="129"/>
      <c r="GN983" s="132"/>
      <c r="GO983" s="129"/>
      <c r="GP983" s="129"/>
      <c r="GQ983" s="132"/>
      <c r="GR983" s="129"/>
      <c r="GS983" s="129"/>
      <c r="GT983" s="132"/>
      <c r="GU983" s="129"/>
      <c r="GV983" s="129"/>
      <c r="GW983" s="132"/>
      <c r="GX983" s="129"/>
      <c r="GY983" s="129"/>
      <c r="GZ983" s="132"/>
      <c r="HA983" s="129"/>
      <c r="HB983" s="129"/>
      <c r="HC983" s="132"/>
      <c r="HD983" s="129"/>
      <c r="HE983" s="129"/>
      <c r="HF983" s="132"/>
      <c r="HG983" s="129"/>
      <c r="HH983" s="129"/>
      <c r="HI983" s="132"/>
      <c r="HJ983" s="129"/>
      <c r="HK983" s="129"/>
      <c r="HL983" s="132"/>
      <c r="HM983" s="129"/>
      <c r="HN983" s="129"/>
      <c r="HO983" s="132"/>
      <c r="HP983" s="129"/>
      <c r="HQ983" s="129"/>
      <c r="HR983" s="132"/>
      <c r="HS983" s="129"/>
      <c r="HT983" s="129"/>
      <c r="HU983" s="132"/>
      <c r="HV983" s="129"/>
      <c r="HW983" s="129"/>
      <c r="HX983" s="132"/>
      <c r="HY983" s="129"/>
      <c r="HZ983" s="129"/>
      <c r="IA983" s="132"/>
      <c r="IB983" s="129"/>
      <c r="IC983" s="129"/>
      <c r="ID983" s="132"/>
      <c r="IE983" s="129"/>
      <c r="IF983" s="129"/>
      <c r="IG983" s="132"/>
      <c r="IH983" s="129"/>
      <c r="II983" s="129"/>
      <c r="IJ983" s="132"/>
      <c r="IK983" s="129"/>
      <c r="IL983" s="129"/>
      <c r="IM983" s="132"/>
      <c r="IN983" s="129"/>
      <c r="IO983" s="129"/>
      <c r="IP983" s="132"/>
      <c r="IQ983" s="129"/>
      <c r="IR983" s="129"/>
      <c r="IS983" s="132"/>
      <c r="IT983" s="129"/>
      <c r="IU983" s="129"/>
      <c r="IV983" s="132"/>
    </row>
    <row r="984" spans="1:256" ht="15.75">
      <c r="A984" s="156"/>
      <c r="B984" s="118"/>
      <c r="C984" s="132"/>
      <c r="D984" s="129"/>
      <c r="E984" s="129"/>
      <c r="F984" s="130"/>
      <c r="G984" s="399"/>
      <c r="H984" s="120"/>
      <c r="I984" s="417"/>
      <c r="J984" s="120"/>
      <c r="K984" s="404"/>
      <c r="L984" s="120">
        <f>J984+K984</f>
        <v>0</v>
      </c>
      <c r="M984" s="120">
        <f>H984*I984</f>
        <v>0</v>
      </c>
      <c r="N984" s="120">
        <f t="shared" si="318"/>
        <v>0</v>
      </c>
      <c r="O984" s="404">
        <f t="shared" si="320"/>
        <v>0</v>
      </c>
      <c r="P984" s="127">
        <f>H984*L984</f>
        <v>0</v>
      </c>
      <c r="Q984" s="159"/>
      <c r="R984" s="159"/>
      <c r="S984" s="156"/>
      <c r="T984" s="159"/>
      <c r="U984" s="159"/>
      <c r="V984" s="156"/>
      <c r="W984" s="159"/>
      <c r="X984" s="159"/>
      <c r="Y984" s="156"/>
      <c r="Z984" s="159"/>
      <c r="AA984" s="159"/>
      <c r="AB984" s="156"/>
      <c r="AC984" s="159"/>
      <c r="AD984" s="159"/>
      <c r="AE984" s="156"/>
      <c r="AF984" s="159"/>
      <c r="AG984" s="159"/>
      <c r="AH984" s="156"/>
      <c r="AI984" s="159"/>
      <c r="AJ984" s="159"/>
      <c r="AK984" s="156"/>
      <c r="AL984" s="159"/>
      <c r="AM984" s="159"/>
      <c r="AN984" s="156"/>
      <c r="AO984" s="159"/>
      <c r="AP984" s="159"/>
      <c r="AQ984" s="156"/>
      <c r="AR984" s="159"/>
      <c r="AS984" s="159"/>
      <c r="AT984" s="156"/>
      <c r="AU984" s="159"/>
      <c r="AV984" s="159"/>
      <c r="AW984" s="156"/>
      <c r="AX984" s="159"/>
      <c r="AY984" s="159"/>
      <c r="AZ984" s="156"/>
      <c r="BA984" s="159"/>
      <c r="BB984" s="159"/>
      <c r="BC984" s="156"/>
      <c r="BD984" s="159"/>
      <c r="BE984" s="159"/>
      <c r="BF984" s="156"/>
      <c r="BG984" s="159"/>
      <c r="BH984" s="159"/>
      <c r="BI984" s="156"/>
      <c r="BJ984" s="159"/>
      <c r="BK984" s="159"/>
      <c r="BL984" s="156"/>
      <c r="BM984" s="159"/>
      <c r="BN984" s="159"/>
      <c r="BO984" s="156"/>
      <c r="BP984" s="159"/>
      <c r="BQ984" s="159"/>
      <c r="BR984" s="156"/>
      <c r="BS984" s="159"/>
      <c r="BT984" s="159"/>
      <c r="BU984" s="156"/>
      <c r="BV984" s="159"/>
      <c r="BW984" s="159"/>
      <c r="BX984" s="156"/>
      <c r="BY984" s="159"/>
      <c r="BZ984" s="159"/>
      <c r="CA984" s="156"/>
      <c r="CB984" s="159"/>
      <c r="CC984" s="159"/>
      <c r="CD984" s="156"/>
      <c r="CE984" s="159"/>
      <c r="CF984" s="159"/>
      <c r="CG984" s="156"/>
      <c r="CH984" s="159"/>
      <c r="CI984" s="159"/>
      <c r="CJ984" s="156"/>
      <c r="CK984" s="159"/>
      <c r="CL984" s="159"/>
      <c r="CM984" s="156"/>
      <c r="CN984" s="159"/>
      <c r="CO984" s="159"/>
      <c r="CP984" s="156"/>
      <c r="CQ984" s="159"/>
      <c r="CR984" s="159"/>
      <c r="CS984" s="156"/>
      <c r="CT984" s="159"/>
      <c r="CU984" s="159"/>
      <c r="CV984" s="156"/>
      <c r="CW984" s="159"/>
      <c r="CX984" s="159"/>
      <c r="CY984" s="156"/>
      <c r="CZ984" s="159"/>
      <c r="DA984" s="159"/>
      <c r="DB984" s="156"/>
      <c r="DC984" s="159"/>
      <c r="DD984" s="159"/>
      <c r="DE984" s="156"/>
      <c r="DF984" s="159"/>
      <c r="DG984" s="159"/>
      <c r="DH984" s="156"/>
      <c r="DI984" s="159"/>
      <c r="DJ984" s="159"/>
      <c r="DK984" s="156"/>
      <c r="DL984" s="159"/>
      <c r="DM984" s="159"/>
      <c r="DN984" s="156"/>
      <c r="DO984" s="159"/>
      <c r="DP984" s="159"/>
      <c r="DQ984" s="156"/>
      <c r="DR984" s="159"/>
      <c r="DS984" s="159"/>
      <c r="DT984" s="156"/>
      <c r="DU984" s="159"/>
      <c r="DV984" s="159"/>
      <c r="DW984" s="156"/>
      <c r="DX984" s="159"/>
      <c r="DY984" s="159"/>
      <c r="DZ984" s="156"/>
      <c r="EA984" s="159"/>
      <c r="EB984" s="159"/>
      <c r="EC984" s="156"/>
      <c r="ED984" s="159"/>
      <c r="EE984" s="159"/>
      <c r="EF984" s="156"/>
      <c r="EG984" s="159"/>
      <c r="EH984" s="159"/>
      <c r="EI984" s="156"/>
      <c r="EJ984" s="159"/>
      <c r="EK984" s="159"/>
      <c r="EL984" s="156"/>
      <c r="EM984" s="159"/>
      <c r="EN984" s="159"/>
      <c r="EO984" s="156"/>
      <c r="EP984" s="159"/>
      <c r="EQ984" s="159"/>
      <c r="ER984" s="156"/>
      <c r="ES984" s="159"/>
      <c r="ET984" s="159"/>
      <c r="EU984" s="156"/>
      <c r="EV984" s="159"/>
      <c r="EW984" s="159"/>
      <c r="EX984" s="156"/>
      <c r="EY984" s="159"/>
      <c r="EZ984" s="159"/>
      <c r="FA984" s="156"/>
      <c r="FB984" s="159"/>
      <c r="FC984" s="159"/>
      <c r="FD984" s="156"/>
      <c r="FE984" s="159"/>
      <c r="FF984" s="159"/>
      <c r="FG984" s="156"/>
      <c r="FH984" s="159"/>
      <c r="FI984" s="159"/>
      <c r="FJ984" s="156"/>
      <c r="FK984" s="159"/>
      <c r="FL984" s="159"/>
      <c r="FM984" s="156"/>
      <c r="FN984" s="159"/>
      <c r="FO984" s="159"/>
      <c r="FP984" s="156"/>
      <c r="FQ984" s="159"/>
      <c r="FR984" s="159"/>
      <c r="FS984" s="156"/>
      <c r="FT984" s="159"/>
      <c r="FU984" s="159"/>
      <c r="FV984" s="156"/>
      <c r="FW984" s="159"/>
      <c r="FX984" s="159"/>
      <c r="FY984" s="156"/>
      <c r="FZ984" s="159"/>
      <c r="GA984" s="159"/>
      <c r="GB984" s="156"/>
      <c r="GC984" s="159"/>
      <c r="GD984" s="159"/>
      <c r="GE984" s="156"/>
      <c r="GF984" s="159"/>
      <c r="GG984" s="159"/>
      <c r="GH984" s="156"/>
      <c r="GI984" s="159"/>
      <c r="GJ984" s="159"/>
      <c r="GK984" s="156"/>
      <c r="GL984" s="159"/>
      <c r="GM984" s="159"/>
      <c r="GN984" s="156"/>
      <c r="GO984" s="159"/>
      <c r="GP984" s="159"/>
      <c r="GQ984" s="156"/>
      <c r="GR984" s="159"/>
      <c r="GS984" s="159"/>
      <c r="GT984" s="156"/>
      <c r="GU984" s="159"/>
      <c r="GV984" s="159"/>
      <c r="GW984" s="156"/>
      <c r="GX984" s="159"/>
      <c r="GY984" s="159"/>
      <c r="GZ984" s="156"/>
      <c r="HA984" s="159"/>
      <c r="HB984" s="159"/>
      <c r="HC984" s="156"/>
      <c r="HD984" s="159"/>
      <c r="HE984" s="159"/>
      <c r="HF984" s="156"/>
      <c r="HG984" s="159"/>
      <c r="HH984" s="159"/>
      <c r="HI984" s="156"/>
      <c r="HJ984" s="159"/>
      <c r="HK984" s="159"/>
      <c r="HL984" s="156"/>
      <c r="HM984" s="159"/>
      <c r="HN984" s="159"/>
      <c r="HO984" s="156"/>
      <c r="HP984" s="159"/>
      <c r="HQ984" s="159"/>
      <c r="HR984" s="156"/>
      <c r="HS984" s="159"/>
      <c r="HT984" s="159"/>
      <c r="HU984" s="156"/>
      <c r="HV984" s="159"/>
      <c r="HW984" s="159"/>
      <c r="HX984" s="156"/>
      <c r="HY984" s="159"/>
      <c r="HZ984" s="159"/>
      <c r="IA984" s="156"/>
      <c r="IB984" s="159"/>
      <c r="IC984" s="159"/>
      <c r="ID984" s="156"/>
      <c r="IE984" s="159"/>
      <c r="IF984" s="159"/>
      <c r="IG984" s="156"/>
      <c r="IH984" s="159"/>
      <c r="II984" s="159"/>
      <c r="IJ984" s="156"/>
      <c r="IK984" s="159"/>
      <c r="IL984" s="159"/>
      <c r="IM984" s="156"/>
      <c r="IN984" s="159"/>
      <c r="IO984" s="159"/>
      <c r="IP984" s="156"/>
      <c r="IQ984" s="159"/>
      <c r="IR984" s="159"/>
      <c r="IS984" s="156"/>
      <c r="IT984" s="159"/>
      <c r="IU984" s="159"/>
      <c r="IV984" s="156"/>
    </row>
    <row r="985" spans="1:256" ht="15.75">
      <c r="A985" s="132"/>
      <c r="B985" s="118" t="s">
        <v>812</v>
      </c>
      <c r="C985" s="132" t="s">
        <v>810</v>
      </c>
      <c r="D985" s="129"/>
      <c r="E985" s="129"/>
      <c r="F985" s="130"/>
      <c r="G985" s="399" t="s">
        <v>663</v>
      </c>
      <c r="H985" s="120">
        <v>1034.6600000000001</v>
      </c>
      <c r="I985" s="417">
        <v>24</v>
      </c>
      <c r="J985" s="120">
        <v>19.2</v>
      </c>
      <c r="K985" s="404"/>
      <c r="L985" s="120">
        <f>J985+K985</f>
        <v>19.2</v>
      </c>
      <c r="M985" s="120">
        <f>H985*I985</f>
        <v>24831.840000000004</v>
      </c>
      <c r="N985" s="120">
        <f t="shared" si="318"/>
        <v>19865.472000000002</v>
      </c>
      <c r="O985" s="404">
        <f t="shared" si="320"/>
        <v>0</v>
      </c>
      <c r="P985" s="127">
        <f>H985*L985</f>
        <v>19865.472000000002</v>
      </c>
      <c r="Q985" s="129"/>
      <c r="R985" s="129"/>
      <c r="S985" s="132"/>
      <c r="T985" s="129"/>
      <c r="U985" s="129"/>
      <c r="V985" s="132"/>
      <c r="W985" s="129"/>
      <c r="X985" s="129"/>
      <c r="Y985" s="132"/>
      <c r="Z985" s="129"/>
      <c r="AA985" s="129"/>
      <c r="AB985" s="132"/>
      <c r="AC985" s="129"/>
      <c r="AD985" s="129"/>
      <c r="AE985" s="132"/>
      <c r="AF985" s="129"/>
      <c r="AG985" s="129"/>
      <c r="AH985" s="132"/>
      <c r="AI985" s="129"/>
      <c r="AJ985" s="129"/>
      <c r="AK985" s="132"/>
      <c r="AL985" s="129"/>
      <c r="AM985" s="129"/>
      <c r="AN985" s="132"/>
      <c r="AO985" s="129"/>
      <c r="AP985" s="129"/>
      <c r="AQ985" s="132"/>
      <c r="AR985" s="129"/>
      <c r="AS985" s="129"/>
      <c r="AT985" s="132"/>
      <c r="AU985" s="129"/>
      <c r="AV985" s="129"/>
      <c r="AW985" s="132"/>
      <c r="AX985" s="129"/>
      <c r="AY985" s="129"/>
      <c r="AZ985" s="132"/>
      <c r="BA985" s="129"/>
      <c r="BB985" s="129"/>
      <c r="BC985" s="132"/>
      <c r="BD985" s="129"/>
      <c r="BE985" s="129"/>
      <c r="BF985" s="132"/>
      <c r="BG985" s="129"/>
      <c r="BH985" s="129"/>
      <c r="BI985" s="132"/>
      <c r="BJ985" s="129"/>
      <c r="BK985" s="129"/>
      <c r="BL985" s="132"/>
      <c r="BM985" s="129"/>
      <c r="BN985" s="129"/>
      <c r="BO985" s="132"/>
      <c r="BP985" s="129"/>
      <c r="BQ985" s="129"/>
      <c r="BR985" s="132"/>
      <c r="BS985" s="129"/>
      <c r="BT985" s="129"/>
      <c r="BU985" s="132"/>
      <c r="BV985" s="129"/>
      <c r="BW985" s="129"/>
      <c r="BX985" s="132"/>
      <c r="BY985" s="129"/>
      <c r="BZ985" s="129"/>
      <c r="CA985" s="132"/>
      <c r="CB985" s="129"/>
      <c r="CC985" s="129"/>
      <c r="CD985" s="132"/>
      <c r="CE985" s="129"/>
      <c r="CF985" s="129"/>
      <c r="CG985" s="132"/>
      <c r="CH985" s="129"/>
      <c r="CI985" s="129"/>
      <c r="CJ985" s="132"/>
      <c r="CK985" s="129"/>
      <c r="CL985" s="129"/>
      <c r="CM985" s="132"/>
      <c r="CN985" s="129"/>
      <c r="CO985" s="129"/>
      <c r="CP985" s="132"/>
      <c r="CQ985" s="129"/>
      <c r="CR985" s="129"/>
      <c r="CS985" s="132"/>
      <c r="CT985" s="129"/>
      <c r="CU985" s="129"/>
      <c r="CV985" s="132"/>
      <c r="CW985" s="129"/>
      <c r="CX985" s="129"/>
      <c r="CY985" s="132"/>
      <c r="CZ985" s="129"/>
      <c r="DA985" s="129"/>
      <c r="DB985" s="132"/>
      <c r="DC985" s="129"/>
      <c r="DD985" s="129"/>
      <c r="DE985" s="132"/>
      <c r="DF985" s="129"/>
      <c r="DG985" s="129"/>
      <c r="DH985" s="132"/>
      <c r="DI985" s="129"/>
      <c r="DJ985" s="129"/>
      <c r="DK985" s="132"/>
      <c r="DL985" s="129"/>
      <c r="DM985" s="129"/>
      <c r="DN985" s="132"/>
      <c r="DO985" s="129"/>
      <c r="DP985" s="129"/>
      <c r="DQ985" s="132"/>
      <c r="DR985" s="129"/>
      <c r="DS985" s="129"/>
      <c r="DT985" s="132"/>
      <c r="DU985" s="129"/>
      <c r="DV985" s="129"/>
      <c r="DW985" s="132"/>
      <c r="DX985" s="129"/>
      <c r="DY985" s="129"/>
      <c r="DZ985" s="132"/>
      <c r="EA985" s="129"/>
      <c r="EB985" s="129"/>
      <c r="EC985" s="132"/>
      <c r="ED985" s="129"/>
      <c r="EE985" s="129"/>
      <c r="EF985" s="132"/>
      <c r="EG985" s="129"/>
      <c r="EH985" s="129"/>
      <c r="EI985" s="132"/>
      <c r="EJ985" s="129"/>
      <c r="EK985" s="129"/>
      <c r="EL985" s="132"/>
      <c r="EM985" s="129"/>
      <c r="EN985" s="129"/>
      <c r="EO985" s="132"/>
      <c r="EP985" s="129"/>
      <c r="EQ985" s="129"/>
      <c r="ER985" s="132"/>
      <c r="ES985" s="129"/>
      <c r="ET985" s="129"/>
      <c r="EU985" s="132"/>
      <c r="EV985" s="129"/>
      <c r="EW985" s="129"/>
      <c r="EX985" s="132"/>
      <c r="EY985" s="129"/>
      <c r="EZ985" s="129"/>
      <c r="FA985" s="132"/>
      <c r="FB985" s="129"/>
      <c r="FC985" s="129"/>
      <c r="FD985" s="132"/>
      <c r="FE985" s="129"/>
      <c r="FF985" s="129"/>
      <c r="FG985" s="132"/>
      <c r="FH985" s="129"/>
      <c r="FI985" s="129"/>
      <c r="FJ985" s="132"/>
      <c r="FK985" s="129"/>
      <c r="FL985" s="129"/>
      <c r="FM985" s="132"/>
      <c r="FN985" s="129"/>
      <c r="FO985" s="129"/>
      <c r="FP985" s="132"/>
      <c r="FQ985" s="129"/>
      <c r="FR985" s="129"/>
      <c r="FS985" s="132"/>
      <c r="FT985" s="129"/>
      <c r="FU985" s="129"/>
      <c r="FV985" s="132"/>
      <c r="FW985" s="129"/>
      <c r="FX985" s="129"/>
      <c r="FY985" s="132"/>
      <c r="FZ985" s="129"/>
      <c r="GA985" s="129"/>
      <c r="GB985" s="132"/>
      <c r="GC985" s="129"/>
      <c r="GD985" s="129"/>
      <c r="GE985" s="132"/>
      <c r="GF985" s="129"/>
      <c r="GG985" s="129"/>
      <c r="GH985" s="132"/>
      <c r="GI985" s="129"/>
      <c r="GJ985" s="129"/>
      <c r="GK985" s="132"/>
      <c r="GL985" s="129"/>
      <c r="GM985" s="129"/>
      <c r="GN985" s="132"/>
      <c r="GO985" s="129"/>
      <c r="GP985" s="129"/>
      <c r="GQ985" s="132"/>
      <c r="GR985" s="129"/>
      <c r="GS985" s="129"/>
      <c r="GT985" s="132"/>
      <c r="GU985" s="129"/>
      <c r="GV985" s="129"/>
      <c r="GW985" s="132"/>
      <c r="GX985" s="129"/>
      <c r="GY985" s="129"/>
      <c r="GZ985" s="132"/>
      <c r="HA985" s="129"/>
      <c r="HB985" s="129"/>
      <c r="HC985" s="132"/>
      <c r="HD985" s="129"/>
      <c r="HE985" s="129"/>
      <c r="HF985" s="132"/>
      <c r="HG985" s="129"/>
      <c r="HH985" s="129"/>
      <c r="HI985" s="132"/>
      <c r="HJ985" s="129"/>
      <c r="HK985" s="129"/>
      <c r="HL985" s="132"/>
      <c r="HM985" s="129"/>
      <c r="HN985" s="129"/>
      <c r="HO985" s="132"/>
      <c r="HP985" s="129"/>
      <c r="HQ985" s="129"/>
      <c r="HR985" s="132"/>
      <c r="HS985" s="129"/>
      <c r="HT985" s="129"/>
      <c r="HU985" s="132"/>
      <c r="HV985" s="129"/>
      <c r="HW985" s="129"/>
      <c r="HX985" s="132"/>
      <c r="HY985" s="129"/>
      <c r="HZ985" s="129"/>
      <c r="IA985" s="132"/>
      <c r="IB985" s="129"/>
      <c r="IC985" s="129"/>
      <c r="ID985" s="132"/>
      <c r="IE985" s="129"/>
      <c r="IF985" s="129"/>
      <c r="IG985" s="132"/>
      <c r="IH985" s="129"/>
      <c r="II985" s="129"/>
      <c r="IJ985" s="132"/>
      <c r="IK985" s="129"/>
      <c r="IL985" s="129"/>
      <c r="IM985" s="132"/>
      <c r="IN985" s="129"/>
      <c r="IO985" s="129"/>
      <c r="IP985" s="132"/>
      <c r="IQ985" s="129"/>
      <c r="IR985" s="129"/>
      <c r="IS985" s="132"/>
      <c r="IT985" s="129"/>
      <c r="IU985" s="129"/>
      <c r="IV985" s="132"/>
    </row>
    <row r="986" spans="1:256" ht="15.75">
      <c r="A986" s="132"/>
      <c r="B986" s="147"/>
      <c r="C986" s="132"/>
      <c r="D986" s="129"/>
      <c r="E986" s="129"/>
      <c r="F986" s="130"/>
      <c r="G986" s="399"/>
      <c r="H986" s="120"/>
      <c r="I986" s="417"/>
      <c r="J986" s="120"/>
      <c r="K986" s="404"/>
      <c r="L986" s="120">
        <f>J986+K986</f>
        <v>0</v>
      </c>
      <c r="M986" s="120">
        <f>H986*I986</f>
        <v>0</v>
      </c>
      <c r="N986" s="120">
        <f t="shared" si="318"/>
        <v>0</v>
      </c>
      <c r="O986" s="404">
        <f t="shared" si="320"/>
        <v>0</v>
      </c>
      <c r="P986" s="127">
        <f>H986*L986</f>
        <v>0</v>
      </c>
      <c r="Q986" s="129"/>
      <c r="R986" s="129"/>
      <c r="S986" s="132"/>
      <c r="T986" s="129"/>
      <c r="U986" s="129"/>
      <c r="V986" s="132"/>
      <c r="W986" s="129"/>
      <c r="X986" s="129"/>
      <c r="Y986" s="132"/>
      <c r="Z986" s="129"/>
      <c r="AA986" s="129"/>
      <c r="AB986" s="132"/>
      <c r="AC986" s="129"/>
      <c r="AD986" s="129"/>
      <c r="AE986" s="132"/>
      <c r="AF986" s="129"/>
      <c r="AG986" s="129"/>
      <c r="AH986" s="132"/>
      <c r="AI986" s="129"/>
      <c r="AJ986" s="129"/>
      <c r="AK986" s="132"/>
      <c r="AL986" s="129"/>
      <c r="AM986" s="129"/>
      <c r="AN986" s="132"/>
      <c r="AO986" s="129"/>
      <c r="AP986" s="129"/>
      <c r="AQ986" s="132"/>
      <c r="AR986" s="129"/>
      <c r="AS986" s="129"/>
      <c r="AT986" s="132"/>
      <c r="AU986" s="129"/>
      <c r="AV986" s="129"/>
      <c r="AW986" s="132"/>
      <c r="AX986" s="129"/>
      <c r="AY986" s="129"/>
      <c r="AZ986" s="132"/>
      <c r="BA986" s="129"/>
      <c r="BB986" s="129"/>
      <c r="BC986" s="132"/>
      <c r="BD986" s="129"/>
      <c r="BE986" s="129"/>
      <c r="BF986" s="132"/>
      <c r="BG986" s="129"/>
      <c r="BH986" s="129"/>
      <c r="BI986" s="132"/>
      <c r="BJ986" s="129"/>
      <c r="BK986" s="129"/>
      <c r="BL986" s="132"/>
      <c r="BM986" s="129"/>
      <c r="BN986" s="129"/>
      <c r="BO986" s="132"/>
      <c r="BP986" s="129"/>
      <c r="BQ986" s="129"/>
      <c r="BR986" s="132"/>
      <c r="BS986" s="129"/>
      <c r="BT986" s="129"/>
      <c r="BU986" s="132"/>
      <c r="BV986" s="129"/>
      <c r="BW986" s="129"/>
      <c r="BX986" s="132"/>
      <c r="BY986" s="129"/>
      <c r="BZ986" s="129"/>
      <c r="CA986" s="132"/>
      <c r="CB986" s="129"/>
      <c r="CC986" s="129"/>
      <c r="CD986" s="132"/>
      <c r="CE986" s="129"/>
      <c r="CF986" s="129"/>
      <c r="CG986" s="132"/>
      <c r="CH986" s="129"/>
      <c r="CI986" s="129"/>
      <c r="CJ986" s="132"/>
      <c r="CK986" s="129"/>
      <c r="CL986" s="129"/>
      <c r="CM986" s="132"/>
      <c r="CN986" s="129"/>
      <c r="CO986" s="129"/>
      <c r="CP986" s="132"/>
      <c r="CQ986" s="129"/>
      <c r="CR986" s="129"/>
      <c r="CS986" s="132"/>
      <c r="CT986" s="129"/>
      <c r="CU986" s="129"/>
      <c r="CV986" s="132"/>
      <c r="CW986" s="129"/>
      <c r="CX986" s="129"/>
      <c r="CY986" s="132"/>
      <c r="CZ986" s="129"/>
      <c r="DA986" s="129"/>
      <c r="DB986" s="132"/>
      <c r="DC986" s="129"/>
      <c r="DD986" s="129"/>
      <c r="DE986" s="132"/>
      <c r="DF986" s="129"/>
      <c r="DG986" s="129"/>
      <c r="DH986" s="132"/>
      <c r="DI986" s="129"/>
      <c r="DJ986" s="129"/>
      <c r="DK986" s="132"/>
      <c r="DL986" s="129"/>
      <c r="DM986" s="129"/>
      <c r="DN986" s="132"/>
      <c r="DO986" s="129"/>
      <c r="DP986" s="129"/>
      <c r="DQ986" s="132"/>
      <c r="DR986" s="129"/>
      <c r="DS986" s="129"/>
      <c r="DT986" s="132"/>
      <c r="DU986" s="129"/>
      <c r="DV986" s="129"/>
      <c r="DW986" s="132"/>
      <c r="DX986" s="129"/>
      <c r="DY986" s="129"/>
      <c r="DZ986" s="132"/>
      <c r="EA986" s="129"/>
      <c r="EB986" s="129"/>
      <c r="EC986" s="132"/>
      <c r="ED986" s="129"/>
      <c r="EE986" s="129"/>
      <c r="EF986" s="132"/>
      <c r="EG986" s="129"/>
      <c r="EH986" s="129"/>
      <c r="EI986" s="132"/>
      <c r="EJ986" s="129"/>
      <c r="EK986" s="129"/>
      <c r="EL986" s="132"/>
      <c r="EM986" s="129"/>
      <c r="EN986" s="129"/>
      <c r="EO986" s="132"/>
      <c r="EP986" s="129"/>
      <c r="EQ986" s="129"/>
      <c r="ER986" s="132"/>
      <c r="ES986" s="129"/>
      <c r="ET986" s="129"/>
      <c r="EU986" s="132"/>
      <c r="EV986" s="129"/>
      <c r="EW986" s="129"/>
      <c r="EX986" s="132"/>
      <c r="EY986" s="129"/>
      <c r="EZ986" s="129"/>
      <c r="FA986" s="132"/>
      <c r="FB986" s="129"/>
      <c r="FC986" s="129"/>
      <c r="FD986" s="132"/>
      <c r="FE986" s="129"/>
      <c r="FF986" s="129"/>
      <c r="FG986" s="132"/>
      <c r="FH986" s="129"/>
      <c r="FI986" s="129"/>
      <c r="FJ986" s="132"/>
      <c r="FK986" s="129"/>
      <c r="FL986" s="129"/>
      <c r="FM986" s="132"/>
      <c r="FN986" s="129"/>
      <c r="FO986" s="129"/>
      <c r="FP986" s="132"/>
      <c r="FQ986" s="129"/>
      <c r="FR986" s="129"/>
      <c r="FS986" s="132"/>
      <c r="FT986" s="129"/>
      <c r="FU986" s="129"/>
      <c r="FV986" s="132"/>
      <c r="FW986" s="129"/>
      <c r="FX986" s="129"/>
      <c r="FY986" s="132"/>
      <c r="FZ986" s="129"/>
      <c r="GA986" s="129"/>
      <c r="GB986" s="132"/>
      <c r="GC986" s="129"/>
      <c r="GD986" s="129"/>
      <c r="GE986" s="132"/>
      <c r="GF986" s="129"/>
      <c r="GG986" s="129"/>
      <c r="GH986" s="132"/>
      <c r="GI986" s="129"/>
      <c r="GJ986" s="129"/>
      <c r="GK986" s="132"/>
      <c r="GL986" s="129"/>
      <c r="GM986" s="129"/>
      <c r="GN986" s="132"/>
      <c r="GO986" s="129"/>
      <c r="GP986" s="129"/>
      <c r="GQ986" s="132"/>
      <c r="GR986" s="129"/>
      <c r="GS986" s="129"/>
      <c r="GT986" s="132"/>
      <c r="GU986" s="129"/>
      <c r="GV986" s="129"/>
      <c r="GW986" s="132"/>
      <c r="GX986" s="129"/>
      <c r="GY986" s="129"/>
      <c r="GZ986" s="132"/>
      <c r="HA986" s="129"/>
      <c r="HB986" s="129"/>
      <c r="HC986" s="132"/>
      <c r="HD986" s="129"/>
      <c r="HE986" s="129"/>
      <c r="HF986" s="132"/>
      <c r="HG986" s="129"/>
      <c r="HH986" s="129"/>
      <c r="HI986" s="132"/>
      <c r="HJ986" s="129"/>
      <c r="HK986" s="129"/>
      <c r="HL986" s="132"/>
      <c r="HM986" s="129"/>
      <c r="HN986" s="129"/>
      <c r="HO986" s="132"/>
      <c r="HP986" s="129"/>
      <c r="HQ986" s="129"/>
      <c r="HR986" s="132"/>
      <c r="HS986" s="129"/>
      <c r="HT986" s="129"/>
      <c r="HU986" s="132"/>
      <c r="HV986" s="129"/>
      <c r="HW986" s="129"/>
      <c r="HX986" s="132"/>
      <c r="HY986" s="129"/>
      <c r="HZ986" s="129"/>
      <c r="IA986" s="132"/>
      <c r="IB986" s="129"/>
      <c r="IC986" s="129"/>
      <c r="ID986" s="132"/>
      <c r="IE986" s="129"/>
      <c r="IF986" s="129"/>
      <c r="IG986" s="132"/>
      <c r="IH986" s="129"/>
      <c r="II986" s="129"/>
      <c r="IJ986" s="132"/>
      <c r="IK986" s="129"/>
      <c r="IL986" s="129"/>
      <c r="IM986" s="132"/>
      <c r="IN986" s="129"/>
      <c r="IO986" s="129"/>
      <c r="IP986" s="132"/>
      <c r="IQ986" s="129"/>
      <c r="IR986" s="129"/>
      <c r="IS986" s="132"/>
      <c r="IT986" s="129"/>
      <c r="IU986" s="129"/>
      <c r="IV986" s="132"/>
    </row>
    <row r="987" spans="1:256" ht="15.75">
      <c r="A987" s="156"/>
      <c r="B987" s="118"/>
      <c r="C987" s="132"/>
      <c r="D987" s="129"/>
      <c r="E987" s="129"/>
      <c r="F987" s="130"/>
      <c r="G987" s="399"/>
      <c r="H987" s="120"/>
      <c r="I987" s="417"/>
      <c r="J987" s="120"/>
      <c r="K987" s="404"/>
      <c r="L987" s="120"/>
      <c r="M987" s="120"/>
      <c r="N987" s="120">
        <f t="shared" si="318"/>
        <v>0</v>
      </c>
      <c r="O987" s="404"/>
      <c r="P987" s="127"/>
      <c r="Q987" s="159"/>
      <c r="R987" s="159"/>
      <c r="S987" s="156"/>
      <c r="T987" s="159"/>
      <c r="U987" s="159"/>
      <c r="V987" s="156"/>
      <c r="W987" s="159"/>
      <c r="X987" s="159"/>
      <c r="Y987" s="156"/>
      <c r="Z987" s="159"/>
      <c r="AA987" s="159"/>
      <c r="AB987" s="156"/>
      <c r="AC987" s="159"/>
      <c r="AD987" s="159"/>
      <c r="AE987" s="156"/>
      <c r="AF987" s="159"/>
      <c r="AG987" s="159"/>
      <c r="AH987" s="156"/>
      <c r="AI987" s="159"/>
      <c r="AJ987" s="159"/>
      <c r="AK987" s="156"/>
      <c r="AL987" s="159"/>
      <c r="AM987" s="159"/>
      <c r="AN987" s="156"/>
      <c r="AO987" s="159"/>
      <c r="AP987" s="159"/>
      <c r="AQ987" s="156"/>
      <c r="AR987" s="159"/>
      <c r="AS987" s="159"/>
      <c r="AT987" s="156"/>
      <c r="AU987" s="159"/>
      <c r="AV987" s="159"/>
      <c r="AW987" s="156"/>
      <c r="AX987" s="159"/>
      <c r="AY987" s="159"/>
      <c r="AZ987" s="156"/>
      <c r="BA987" s="159"/>
      <c r="BB987" s="159"/>
      <c r="BC987" s="156"/>
      <c r="BD987" s="159"/>
      <c r="BE987" s="159"/>
      <c r="BF987" s="156"/>
      <c r="BG987" s="159"/>
      <c r="BH987" s="159"/>
      <c r="BI987" s="156"/>
      <c r="BJ987" s="159"/>
      <c r="BK987" s="159"/>
      <c r="BL987" s="156"/>
      <c r="BM987" s="159"/>
      <c r="BN987" s="159"/>
      <c r="BO987" s="156"/>
      <c r="BP987" s="159"/>
      <c r="BQ987" s="159"/>
      <c r="BR987" s="156"/>
      <c r="BS987" s="159"/>
      <c r="BT987" s="159"/>
      <c r="BU987" s="156"/>
      <c r="BV987" s="159"/>
      <c r="BW987" s="159"/>
      <c r="BX987" s="156"/>
      <c r="BY987" s="159"/>
      <c r="BZ987" s="159"/>
      <c r="CA987" s="156"/>
      <c r="CB987" s="159"/>
      <c r="CC987" s="159"/>
      <c r="CD987" s="156"/>
      <c r="CE987" s="159"/>
      <c r="CF987" s="159"/>
      <c r="CG987" s="156"/>
      <c r="CH987" s="159"/>
      <c r="CI987" s="159"/>
      <c r="CJ987" s="156"/>
      <c r="CK987" s="159"/>
      <c r="CL987" s="159"/>
      <c r="CM987" s="156"/>
      <c r="CN987" s="159"/>
      <c r="CO987" s="159"/>
      <c r="CP987" s="156"/>
      <c r="CQ987" s="159"/>
      <c r="CR987" s="159"/>
      <c r="CS987" s="156"/>
      <c r="CT987" s="159"/>
      <c r="CU987" s="159"/>
      <c r="CV987" s="156"/>
      <c r="CW987" s="159"/>
      <c r="CX987" s="159"/>
      <c r="CY987" s="156"/>
      <c r="CZ987" s="159"/>
      <c r="DA987" s="159"/>
      <c r="DB987" s="156"/>
      <c r="DC987" s="159"/>
      <c r="DD987" s="159"/>
      <c r="DE987" s="156"/>
      <c r="DF987" s="159"/>
      <c r="DG987" s="159"/>
      <c r="DH987" s="156"/>
      <c r="DI987" s="159"/>
      <c r="DJ987" s="159"/>
      <c r="DK987" s="156"/>
      <c r="DL987" s="159"/>
      <c r="DM987" s="159"/>
      <c r="DN987" s="156"/>
      <c r="DO987" s="159"/>
      <c r="DP987" s="159"/>
      <c r="DQ987" s="156"/>
      <c r="DR987" s="159"/>
      <c r="DS987" s="159"/>
      <c r="DT987" s="156"/>
      <c r="DU987" s="159"/>
      <c r="DV987" s="159"/>
      <c r="DW987" s="156"/>
      <c r="DX987" s="159"/>
      <c r="DY987" s="159"/>
      <c r="DZ987" s="156"/>
      <c r="EA987" s="159"/>
      <c r="EB987" s="159"/>
      <c r="EC987" s="156"/>
      <c r="ED987" s="159"/>
      <c r="EE987" s="159"/>
      <c r="EF987" s="156"/>
      <c r="EG987" s="159"/>
      <c r="EH987" s="159"/>
      <c r="EI987" s="156"/>
      <c r="EJ987" s="159"/>
      <c r="EK987" s="159"/>
      <c r="EL987" s="156"/>
      <c r="EM987" s="159"/>
      <c r="EN987" s="159"/>
      <c r="EO987" s="156"/>
      <c r="EP987" s="159"/>
      <c r="EQ987" s="159"/>
      <c r="ER987" s="156"/>
      <c r="ES987" s="159"/>
      <c r="ET987" s="159"/>
      <c r="EU987" s="156"/>
      <c r="EV987" s="159"/>
      <c r="EW987" s="159"/>
      <c r="EX987" s="156"/>
      <c r="EY987" s="159"/>
      <c r="EZ987" s="159"/>
      <c r="FA987" s="156"/>
      <c r="FB987" s="159"/>
      <c r="FC987" s="159"/>
      <c r="FD987" s="156"/>
      <c r="FE987" s="159"/>
      <c r="FF987" s="159"/>
      <c r="FG987" s="156"/>
      <c r="FH987" s="159"/>
      <c r="FI987" s="159"/>
      <c r="FJ987" s="156"/>
      <c r="FK987" s="159"/>
      <c r="FL987" s="159"/>
      <c r="FM987" s="156"/>
      <c r="FN987" s="159"/>
      <c r="FO987" s="159"/>
      <c r="FP987" s="156"/>
      <c r="FQ987" s="159"/>
      <c r="FR987" s="159"/>
      <c r="FS987" s="156"/>
      <c r="FT987" s="159"/>
      <c r="FU987" s="159"/>
      <c r="FV987" s="156"/>
      <c r="FW987" s="159"/>
      <c r="FX987" s="159"/>
      <c r="FY987" s="156"/>
      <c r="FZ987" s="159"/>
      <c r="GA987" s="159"/>
      <c r="GB987" s="156"/>
      <c r="GC987" s="159"/>
      <c r="GD987" s="159"/>
      <c r="GE987" s="156"/>
      <c r="GF987" s="159"/>
      <c r="GG987" s="159"/>
      <c r="GH987" s="156"/>
      <c r="GI987" s="159"/>
      <c r="GJ987" s="159"/>
      <c r="GK987" s="156"/>
      <c r="GL987" s="159"/>
      <c r="GM987" s="159"/>
      <c r="GN987" s="156"/>
      <c r="GO987" s="159"/>
      <c r="GP987" s="159"/>
      <c r="GQ987" s="156"/>
      <c r="GR987" s="159"/>
      <c r="GS987" s="159"/>
      <c r="GT987" s="156"/>
      <c r="GU987" s="159"/>
      <c r="GV987" s="159"/>
      <c r="GW987" s="156"/>
      <c r="GX987" s="159"/>
      <c r="GY987" s="159"/>
      <c r="GZ987" s="156"/>
      <c r="HA987" s="159"/>
      <c r="HB987" s="159"/>
      <c r="HC987" s="156"/>
      <c r="HD987" s="159"/>
      <c r="HE987" s="159"/>
      <c r="HF987" s="156"/>
      <c r="HG987" s="159"/>
      <c r="HH987" s="159"/>
      <c r="HI987" s="156"/>
      <c r="HJ987" s="159"/>
      <c r="HK987" s="159"/>
      <c r="HL987" s="156"/>
      <c r="HM987" s="159"/>
      <c r="HN987" s="159"/>
      <c r="HO987" s="156"/>
      <c r="HP987" s="159"/>
      <c r="HQ987" s="159"/>
      <c r="HR987" s="156"/>
      <c r="HS987" s="159"/>
      <c r="HT987" s="159"/>
      <c r="HU987" s="156"/>
      <c r="HV987" s="159"/>
      <c r="HW987" s="159"/>
      <c r="HX987" s="156"/>
      <c r="HY987" s="159"/>
      <c r="HZ987" s="159"/>
      <c r="IA987" s="156"/>
      <c r="IB987" s="159"/>
      <c r="IC987" s="159"/>
      <c r="ID987" s="156"/>
      <c r="IE987" s="159"/>
      <c r="IF987" s="159"/>
      <c r="IG987" s="156"/>
      <c r="IH987" s="159"/>
      <c r="II987" s="159"/>
      <c r="IJ987" s="156"/>
      <c r="IK987" s="159"/>
      <c r="IL987" s="159"/>
      <c r="IM987" s="156"/>
      <c r="IN987" s="159"/>
      <c r="IO987" s="159"/>
      <c r="IP987" s="156"/>
      <c r="IQ987" s="159"/>
      <c r="IR987" s="159"/>
      <c r="IS987" s="156"/>
      <c r="IT987" s="159"/>
      <c r="IU987" s="159"/>
      <c r="IV987" s="156"/>
    </row>
    <row r="988" spans="1:256" ht="15.75">
      <c r="A988" s="132"/>
      <c r="B988" s="118" t="s">
        <v>813</v>
      </c>
      <c r="C988" s="132" t="s">
        <v>811</v>
      </c>
      <c r="D988" s="129"/>
      <c r="E988" s="129"/>
      <c r="F988" s="130"/>
      <c r="G988" s="399" t="s">
        <v>592</v>
      </c>
      <c r="H988" s="120">
        <v>204.41</v>
      </c>
      <c r="I988" s="417">
        <v>400</v>
      </c>
      <c r="J988" s="120">
        <v>390</v>
      </c>
      <c r="K988" s="404"/>
      <c r="L988" s="120">
        <f t="shared" ref="L988:L993" si="321">J988+K988</f>
        <v>390</v>
      </c>
      <c r="M988" s="120">
        <f t="shared" ref="M988:M1003" si="322">H988*I988</f>
        <v>81764</v>
      </c>
      <c r="N988" s="120">
        <f t="shared" si="318"/>
        <v>79719.899999999994</v>
      </c>
      <c r="O988" s="404">
        <f t="shared" ref="O988:O993" si="323">H988*K988</f>
        <v>0</v>
      </c>
      <c r="P988" s="127">
        <f t="shared" ref="P988:P993" si="324">H988*L988</f>
        <v>79719.899999999994</v>
      </c>
      <c r="Q988" s="129"/>
      <c r="R988" s="129"/>
      <c r="S988" s="132"/>
      <c r="T988" s="129"/>
      <c r="U988" s="129"/>
      <c r="V988" s="132"/>
      <c r="W988" s="129"/>
      <c r="X988" s="129"/>
      <c r="Y988" s="132"/>
      <c r="Z988" s="129"/>
      <c r="AA988" s="129"/>
      <c r="AB988" s="132"/>
      <c r="AC988" s="129"/>
      <c r="AD988" s="129"/>
      <c r="AE988" s="132"/>
      <c r="AF988" s="129"/>
      <c r="AG988" s="129"/>
      <c r="AH988" s="132"/>
      <c r="AI988" s="129"/>
      <c r="AJ988" s="129"/>
      <c r="AK988" s="132"/>
      <c r="AL988" s="129"/>
      <c r="AM988" s="129"/>
      <c r="AN988" s="132"/>
      <c r="AO988" s="129"/>
      <c r="AP988" s="129"/>
      <c r="AQ988" s="132"/>
      <c r="AR988" s="129"/>
      <c r="AS988" s="129"/>
      <c r="AT988" s="132"/>
      <c r="AU988" s="129"/>
      <c r="AV988" s="129"/>
      <c r="AW988" s="132"/>
      <c r="AX988" s="129"/>
      <c r="AY988" s="129"/>
      <c r="AZ988" s="132"/>
      <c r="BA988" s="129"/>
      <c r="BB988" s="129"/>
      <c r="BC988" s="132"/>
      <c r="BD988" s="129"/>
      <c r="BE988" s="129"/>
      <c r="BF988" s="132"/>
      <c r="BG988" s="129"/>
      <c r="BH988" s="129"/>
      <c r="BI988" s="132"/>
      <c r="BJ988" s="129"/>
      <c r="BK988" s="129"/>
      <c r="BL988" s="132"/>
      <c r="BM988" s="129"/>
      <c r="BN988" s="129"/>
      <c r="BO988" s="132"/>
      <c r="BP988" s="129"/>
      <c r="BQ988" s="129"/>
      <c r="BR988" s="132"/>
      <c r="BS988" s="129"/>
      <c r="BT988" s="129"/>
      <c r="BU988" s="132"/>
      <c r="BV988" s="129"/>
      <c r="BW988" s="129"/>
      <c r="BX988" s="132"/>
      <c r="BY988" s="129"/>
      <c r="BZ988" s="129"/>
      <c r="CA988" s="132"/>
      <c r="CB988" s="129"/>
      <c r="CC988" s="129"/>
      <c r="CD988" s="132"/>
      <c r="CE988" s="129"/>
      <c r="CF988" s="129"/>
      <c r="CG988" s="132"/>
      <c r="CH988" s="129"/>
      <c r="CI988" s="129"/>
      <c r="CJ988" s="132"/>
      <c r="CK988" s="129"/>
      <c r="CL988" s="129"/>
      <c r="CM988" s="132"/>
      <c r="CN988" s="129"/>
      <c r="CO988" s="129"/>
      <c r="CP988" s="132"/>
      <c r="CQ988" s="129"/>
      <c r="CR988" s="129"/>
      <c r="CS988" s="132"/>
      <c r="CT988" s="129"/>
      <c r="CU988" s="129"/>
      <c r="CV988" s="132"/>
      <c r="CW988" s="129"/>
      <c r="CX988" s="129"/>
      <c r="CY988" s="132"/>
      <c r="CZ988" s="129"/>
      <c r="DA988" s="129"/>
      <c r="DB988" s="132"/>
      <c r="DC988" s="129"/>
      <c r="DD988" s="129"/>
      <c r="DE988" s="132"/>
      <c r="DF988" s="129"/>
      <c r="DG988" s="129"/>
      <c r="DH988" s="132"/>
      <c r="DI988" s="129"/>
      <c r="DJ988" s="129"/>
      <c r="DK988" s="132"/>
      <c r="DL988" s="129"/>
      <c r="DM988" s="129"/>
      <c r="DN988" s="132"/>
      <c r="DO988" s="129"/>
      <c r="DP988" s="129"/>
      <c r="DQ988" s="132"/>
      <c r="DR988" s="129"/>
      <c r="DS988" s="129"/>
      <c r="DT988" s="132"/>
      <c r="DU988" s="129"/>
      <c r="DV988" s="129"/>
      <c r="DW988" s="132"/>
      <c r="DX988" s="129"/>
      <c r="DY988" s="129"/>
      <c r="DZ988" s="132"/>
      <c r="EA988" s="129"/>
      <c r="EB988" s="129"/>
      <c r="EC988" s="132"/>
      <c r="ED988" s="129"/>
      <c r="EE988" s="129"/>
      <c r="EF988" s="132"/>
      <c r="EG988" s="129"/>
      <c r="EH988" s="129"/>
      <c r="EI988" s="132"/>
      <c r="EJ988" s="129"/>
      <c r="EK988" s="129"/>
      <c r="EL988" s="132"/>
      <c r="EM988" s="129"/>
      <c r="EN988" s="129"/>
      <c r="EO988" s="132"/>
      <c r="EP988" s="129"/>
      <c r="EQ988" s="129"/>
      <c r="ER988" s="132"/>
      <c r="ES988" s="129"/>
      <c r="ET988" s="129"/>
      <c r="EU988" s="132"/>
      <c r="EV988" s="129"/>
      <c r="EW988" s="129"/>
      <c r="EX988" s="132"/>
      <c r="EY988" s="129"/>
      <c r="EZ988" s="129"/>
      <c r="FA988" s="132"/>
      <c r="FB988" s="129"/>
      <c r="FC988" s="129"/>
      <c r="FD988" s="132"/>
      <c r="FE988" s="129"/>
      <c r="FF988" s="129"/>
      <c r="FG988" s="132"/>
      <c r="FH988" s="129"/>
      <c r="FI988" s="129"/>
      <c r="FJ988" s="132"/>
      <c r="FK988" s="129"/>
      <c r="FL988" s="129"/>
      <c r="FM988" s="132"/>
      <c r="FN988" s="129"/>
      <c r="FO988" s="129"/>
      <c r="FP988" s="132"/>
      <c r="FQ988" s="129"/>
      <c r="FR988" s="129"/>
      <c r="FS988" s="132"/>
      <c r="FT988" s="129"/>
      <c r="FU988" s="129"/>
      <c r="FV988" s="132"/>
      <c r="FW988" s="129"/>
      <c r="FX988" s="129"/>
      <c r="FY988" s="132"/>
      <c r="FZ988" s="129"/>
      <c r="GA988" s="129"/>
      <c r="GB988" s="132"/>
      <c r="GC988" s="129"/>
      <c r="GD988" s="129"/>
      <c r="GE988" s="132"/>
      <c r="GF988" s="129"/>
      <c r="GG988" s="129"/>
      <c r="GH988" s="132"/>
      <c r="GI988" s="129"/>
      <c r="GJ988" s="129"/>
      <c r="GK988" s="132"/>
      <c r="GL988" s="129"/>
      <c r="GM988" s="129"/>
      <c r="GN988" s="132"/>
      <c r="GO988" s="129"/>
      <c r="GP988" s="129"/>
      <c r="GQ988" s="132"/>
      <c r="GR988" s="129"/>
      <c r="GS988" s="129"/>
      <c r="GT988" s="132"/>
      <c r="GU988" s="129"/>
      <c r="GV988" s="129"/>
      <c r="GW988" s="132"/>
      <c r="GX988" s="129"/>
      <c r="GY988" s="129"/>
      <c r="GZ988" s="132"/>
      <c r="HA988" s="129"/>
      <c r="HB988" s="129"/>
      <c r="HC988" s="132"/>
      <c r="HD988" s="129"/>
      <c r="HE988" s="129"/>
      <c r="HF988" s="132"/>
      <c r="HG988" s="129"/>
      <c r="HH988" s="129"/>
      <c r="HI988" s="132"/>
      <c r="HJ988" s="129"/>
      <c r="HK988" s="129"/>
      <c r="HL988" s="132"/>
      <c r="HM988" s="129"/>
      <c r="HN988" s="129"/>
      <c r="HO988" s="132"/>
      <c r="HP988" s="129"/>
      <c r="HQ988" s="129"/>
      <c r="HR988" s="132"/>
      <c r="HS988" s="129"/>
      <c r="HT988" s="129"/>
      <c r="HU988" s="132"/>
      <c r="HV988" s="129"/>
      <c r="HW988" s="129"/>
      <c r="HX988" s="132"/>
      <c r="HY988" s="129"/>
      <c r="HZ988" s="129"/>
      <c r="IA988" s="132"/>
      <c r="IB988" s="129"/>
      <c r="IC988" s="129"/>
      <c r="ID988" s="132"/>
      <c r="IE988" s="129"/>
      <c r="IF988" s="129"/>
      <c r="IG988" s="132"/>
      <c r="IH988" s="129"/>
      <c r="II988" s="129"/>
      <c r="IJ988" s="132"/>
      <c r="IK988" s="129"/>
      <c r="IL988" s="129"/>
      <c r="IM988" s="132"/>
      <c r="IN988" s="129"/>
      <c r="IO988" s="129"/>
      <c r="IP988" s="132"/>
      <c r="IQ988" s="129"/>
      <c r="IR988" s="129"/>
      <c r="IS988" s="132"/>
      <c r="IT988" s="129"/>
      <c r="IU988" s="129"/>
      <c r="IV988" s="132"/>
    </row>
    <row r="989" spans="1:256" ht="15.75">
      <c r="A989" s="132"/>
      <c r="B989" s="118"/>
      <c r="C989" s="132"/>
      <c r="D989" s="129"/>
      <c r="E989" s="129"/>
      <c r="F989" s="130"/>
      <c r="G989" s="399"/>
      <c r="H989" s="120"/>
      <c r="I989" s="417"/>
      <c r="J989" s="120"/>
      <c r="K989" s="404"/>
      <c r="L989" s="120">
        <f t="shared" si="321"/>
        <v>0</v>
      </c>
      <c r="M989" s="120">
        <f t="shared" si="322"/>
        <v>0</v>
      </c>
      <c r="N989" s="120">
        <f t="shared" si="318"/>
        <v>0</v>
      </c>
      <c r="O989" s="404">
        <f t="shared" si="323"/>
        <v>0</v>
      </c>
      <c r="P989" s="127">
        <f t="shared" si="324"/>
        <v>0</v>
      </c>
      <c r="Q989" s="129"/>
      <c r="R989" s="129"/>
      <c r="S989" s="132"/>
      <c r="T989" s="129"/>
      <c r="U989" s="129"/>
      <c r="V989" s="132"/>
      <c r="W989" s="129"/>
      <c r="X989" s="129"/>
      <c r="Y989" s="132"/>
      <c r="Z989" s="129"/>
      <c r="AA989" s="129"/>
      <c r="AB989" s="132"/>
      <c r="AC989" s="129"/>
      <c r="AD989" s="129"/>
      <c r="AE989" s="132"/>
      <c r="AF989" s="129"/>
      <c r="AG989" s="129"/>
      <c r="AH989" s="132"/>
      <c r="AI989" s="129"/>
      <c r="AJ989" s="129"/>
      <c r="AK989" s="132"/>
      <c r="AL989" s="129"/>
      <c r="AM989" s="129"/>
      <c r="AN989" s="132"/>
      <c r="AO989" s="129"/>
      <c r="AP989" s="129"/>
      <c r="AQ989" s="132"/>
      <c r="AR989" s="129"/>
      <c r="AS989" s="129"/>
      <c r="AT989" s="132"/>
      <c r="AU989" s="129"/>
      <c r="AV989" s="129"/>
      <c r="AW989" s="132"/>
      <c r="AX989" s="129"/>
      <c r="AY989" s="129"/>
      <c r="AZ989" s="132"/>
      <c r="BA989" s="129"/>
      <c r="BB989" s="129"/>
      <c r="BC989" s="132"/>
      <c r="BD989" s="129"/>
      <c r="BE989" s="129"/>
      <c r="BF989" s="132"/>
      <c r="BG989" s="129"/>
      <c r="BH989" s="129"/>
      <c r="BI989" s="132"/>
      <c r="BJ989" s="129"/>
      <c r="BK989" s="129"/>
      <c r="BL989" s="132"/>
      <c r="BM989" s="129"/>
      <c r="BN989" s="129"/>
      <c r="BO989" s="132"/>
      <c r="BP989" s="129"/>
      <c r="BQ989" s="129"/>
      <c r="BR989" s="132"/>
      <c r="BS989" s="129"/>
      <c r="BT989" s="129"/>
      <c r="BU989" s="132"/>
      <c r="BV989" s="129"/>
      <c r="BW989" s="129"/>
      <c r="BX989" s="132"/>
      <c r="BY989" s="129"/>
      <c r="BZ989" s="129"/>
      <c r="CA989" s="132"/>
      <c r="CB989" s="129"/>
      <c r="CC989" s="129"/>
      <c r="CD989" s="132"/>
      <c r="CE989" s="129"/>
      <c r="CF989" s="129"/>
      <c r="CG989" s="132"/>
      <c r="CH989" s="129"/>
      <c r="CI989" s="129"/>
      <c r="CJ989" s="132"/>
      <c r="CK989" s="129"/>
      <c r="CL989" s="129"/>
      <c r="CM989" s="132"/>
      <c r="CN989" s="129"/>
      <c r="CO989" s="129"/>
      <c r="CP989" s="132"/>
      <c r="CQ989" s="129"/>
      <c r="CR989" s="129"/>
      <c r="CS989" s="132"/>
      <c r="CT989" s="129"/>
      <c r="CU989" s="129"/>
      <c r="CV989" s="132"/>
      <c r="CW989" s="129"/>
      <c r="CX989" s="129"/>
      <c r="CY989" s="132"/>
      <c r="CZ989" s="129"/>
      <c r="DA989" s="129"/>
      <c r="DB989" s="132"/>
      <c r="DC989" s="129"/>
      <c r="DD989" s="129"/>
      <c r="DE989" s="132"/>
      <c r="DF989" s="129"/>
      <c r="DG989" s="129"/>
      <c r="DH989" s="132"/>
      <c r="DI989" s="129"/>
      <c r="DJ989" s="129"/>
      <c r="DK989" s="132"/>
      <c r="DL989" s="129"/>
      <c r="DM989" s="129"/>
      <c r="DN989" s="132"/>
      <c r="DO989" s="129"/>
      <c r="DP989" s="129"/>
      <c r="DQ989" s="132"/>
      <c r="DR989" s="129"/>
      <c r="DS989" s="129"/>
      <c r="DT989" s="132"/>
      <c r="DU989" s="129"/>
      <c r="DV989" s="129"/>
      <c r="DW989" s="132"/>
      <c r="DX989" s="129"/>
      <c r="DY989" s="129"/>
      <c r="DZ989" s="132"/>
      <c r="EA989" s="129"/>
      <c r="EB989" s="129"/>
      <c r="EC989" s="132"/>
      <c r="ED989" s="129"/>
      <c r="EE989" s="129"/>
      <c r="EF989" s="132"/>
      <c r="EG989" s="129"/>
      <c r="EH989" s="129"/>
      <c r="EI989" s="132"/>
      <c r="EJ989" s="129"/>
      <c r="EK989" s="129"/>
      <c r="EL989" s="132"/>
      <c r="EM989" s="129"/>
      <c r="EN989" s="129"/>
      <c r="EO989" s="132"/>
      <c r="EP989" s="129"/>
      <c r="EQ989" s="129"/>
      <c r="ER989" s="132"/>
      <c r="ES989" s="129"/>
      <c r="ET989" s="129"/>
      <c r="EU989" s="132"/>
      <c r="EV989" s="129"/>
      <c r="EW989" s="129"/>
      <c r="EX989" s="132"/>
      <c r="EY989" s="129"/>
      <c r="EZ989" s="129"/>
      <c r="FA989" s="132"/>
      <c r="FB989" s="129"/>
      <c r="FC989" s="129"/>
      <c r="FD989" s="132"/>
      <c r="FE989" s="129"/>
      <c r="FF989" s="129"/>
      <c r="FG989" s="132"/>
      <c r="FH989" s="129"/>
      <c r="FI989" s="129"/>
      <c r="FJ989" s="132"/>
      <c r="FK989" s="129"/>
      <c r="FL989" s="129"/>
      <c r="FM989" s="132"/>
      <c r="FN989" s="129"/>
      <c r="FO989" s="129"/>
      <c r="FP989" s="132"/>
      <c r="FQ989" s="129"/>
      <c r="FR989" s="129"/>
      <c r="FS989" s="132"/>
      <c r="FT989" s="129"/>
      <c r="FU989" s="129"/>
      <c r="FV989" s="132"/>
      <c r="FW989" s="129"/>
      <c r="FX989" s="129"/>
      <c r="FY989" s="132"/>
      <c r="FZ989" s="129"/>
      <c r="GA989" s="129"/>
      <c r="GB989" s="132"/>
      <c r="GC989" s="129"/>
      <c r="GD989" s="129"/>
      <c r="GE989" s="132"/>
      <c r="GF989" s="129"/>
      <c r="GG989" s="129"/>
      <c r="GH989" s="132"/>
      <c r="GI989" s="129"/>
      <c r="GJ989" s="129"/>
      <c r="GK989" s="132"/>
      <c r="GL989" s="129"/>
      <c r="GM989" s="129"/>
      <c r="GN989" s="132"/>
      <c r="GO989" s="129"/>
      <c r="GP989" s="129"/>
      <c r="GQ989" s="132"/>
      <c r="GR989" s="129"/>
      <c r="GS989" s="129"/>
      <c r="GT989" s="132"/>
      <c r="GU989" s="129"/>
      <c r="GV989" s="129"/>
      <c r="GW989" s="132"/>
      <c r="GX989" s="129"/>
      <c r="GY989" s="129"/>
      <c r="GZ989" s="132"/>
      <c r="HA989" s="129"/>
      <c r="HB989" s="129"/>
      <c r="HC989" s="132"/>
      <c r="HD989" s="129"/>
      <c r="HE989" s="129"/>
      <c r="HF989" s="132"/>
      <c r="HG989" s="129"/>
      <c r="HH989" s="129"/>
      <c r="HI989" s="132"/>
      <c r="HJ989" s="129"/>
      <c r="HK989" s="129"/>
      <c r="HL989" s="132"/>
      <c r="HM989" s="129"/>
      <c r="HN989" s="129"/>
      <c r="HO989" s="132"/>
      <c r="HP989" s="129"/>
      <c r="HQ989" s="129"/>
      <c r="HR989" s="132"/>
      <c r="HS989" s="129"/>
      <c r="HT989" s="129"/>
      <c r="HU989" s="132"/>
      <c r="HV989" s="129"/>
      <c r="HW989" s="129"/>
      <c r="HX989" s="132"/>
      <c r="HY989" s="129"/>
      <c r="HZ989" s="129"/>
      <c r="IA989" s="132"/>
      <c r="IB989" s="129"/>
      <c r="IC989" s="129"/>
      <c r="ID989" s="132"/>
      <c r="IE989" s="129"/>
      <c r="IF989" s="129"/>
      <c r="IG989" s="132"/>
      <c r="IH989" s="129"/>
      <c r="II989" s="129"/>
      <c r="IJ989" s="132"/>
      <c r="IK989" s="129"/>
      <c r="IL989" s="129"/>
      <c r="IM989" s="132"/>
      <c r="IN989" s="129"/>
      <c r="IO989" s="129"/>
      <c r="IP989" s="132"/>
      <c r="IQ989" s="129"/>
      <c r="IR989" s="129"/>
      <c r="IS989" s="132"/>
      <c r="IT989" s="129"/>
      <c r="IU989" s="129"/>
      <c r="IV989" s="132"/>
    </row>
    <row r="990" spans="1:256" ht="15.75">
      <c r="A990" s="156"/>
      <c r="B990" s="118"/>
      <c r="C990" s="132"/>
      <c r="D990" s="129"/>
      <c r="E990" s="129" t="s">
        <v>845</v>
      </c>
      <c r="F990" s="130"/>
      <c r="G990" s="399"/>
      <c r="H990" s="120"/>
      <c r="I990" s="417"/>
      <c r="J990" s="120"/>
      <c r="K990" s="404"/>
      <c r="L990" s="120">
        <f t="shared" si="321"/>
        <v>0</v>
      </c>
      <c r="M990" s="120">
        <f t="shared" si="322"/>
        <v>0</v>
      </c>
      <c r="N990" s="120">
        <f t="shared" si="318"/>
        <v>0</v>
      </c>
      <c r="O990" s="404">
        <f t="shared" si="323"/>
        <v>0</v>
      </c>
      <c r="P990" s="127">
        <f t="shared" si="324"/>
        <v>0</v>
      </c>
      <c r="Q990" s="159"/>
      <c r="R990" s="159"/>
      <c r="S990" s="156"/>
      <c r="T990" s="159"/>
      <c r="U990" s="159"/>
      <c r="V990" s="156"/>
      <c r="W990" s="159"/>
      <c r="X990" s="159"/>
      <c r="Y990" s="156"/>
      <c r="Z990" s="159"/>
      <c r="AA990" s="159"/>
      <c r="AB990" s="156"/>
      <c r="AC990" s="159"/>
      <c r="AD990" s="159"/>
      <c r="AE990" s="156"/>
      <c r="AF990" s="159"/>
      <c r="AG990" s="159"/>
      <c r="AH990" s="156"/>
      <c r="AI990" s="159"/>
      <c r="AJ990" s="159"/>
      <c r="AK990" s="156"/>
      <c r="AL990" s="159"/>
      <c r="AM990" s="159"/>
      <c r="AN990" s="156"/>
      <c r="AO990" s="159"/>
      <c r="AP990" s="159"/>
      <c r="AQ990" s="156"/>
      <c r="AR990" s="159"/>
      <c r="AS990" s="159"/>
      <c r="AT990" s="156"/>
      <c r="AU990" s="159"/>
      <c r="AV990" s="159"/>
      <c r="AW990" s="156"/>
      <c r="AX990" s="159"/>
      <c r="AY990" s="159"/>
      <c r="AZ990" s="156"/>
      <c r="BA990" s="159"/>
      <c r="BB990" s="159"/>
      <c r="BC990" s="156"/>
      <c r="BD990" s="159"/>
      <c r="BE990" s="159"/>
      <c r="BF990" s="156"/>
      <c r="BG990" s="159"/>
      <c r="BH990" s="159"/>
      <c r="BI990" s="156"/>
      <c r="BJ990" s="159"/>
      <c r="BK990" s="159"/>
      <c r="BL990" s="156"/>
      <c r="BM990" s="159"/>
      <c r="BN990" s="159"/>
      <c r="BO990" s="156"/>
      <c r="BP990" s="159"/>
      <c r="BQ990" s="159"/>
      <c r="BR990" s="156"/>
      <c r="BS990" s="159"/>
      <c r="BT990" s="159"/>
      <c r="BU990" s="156"/>
      <c r="BV990" s="159"/>
      <c r="BW990" s="159"/>
      <c r="BX990" s="156"/>
      <c r="BY990" s="159"/>
      <c r="BZ990" s="159"/>
      <c r="CA990" s="156"/>
      <c r="CB990" s="159"/>
      <c r="CC990" s="159"/>
      <c r="CD990" s="156"/>
      <c r="CE990" s="159"/>
      <c r="CF990" s="159"/>
      <c r="CG990" s="156"/>
      <c r="CH990" s="159"/>
      <c r="CI990" s="159"/>
      <c r="CJ990" s="156"/>
      <c r="CK990" s="159"/>
      <c r="CL990" s="159"/>
      <c r="CM990" s="156"/>
      <c r="CN990" s="159"/>
      <c r="CO990" s="159"/>
      <c r="CP990" s="156"/>
      <c r="CQ990" s="159"/>
      <c r="CR990" s="159"/>
      <c r="CS990" s="156"/>
      <c r="CT990" s="159"/>
      <c r="CU990" s="159"/>
      <c r="CV990" s="156"/>
      <c r="CW990" s="159"/>
      <c r="CX990" s="159"/>
      <c r="CY990" s="156"/>
      <c r="CZ990" s="159"/>
      <c r="DA990" s="159"/>
      <c r="DB990" s="156"/>
      <c r="DC990" s="159"/>
      <c r="DD990" s="159"/>
      <c r="DE990" s="156"/>
      <c r="DF990" s="159"/>
      <c r="DG990" s="159"/>
      <c r="DH990" s="156"/>
      <c r="DI990" s="159"/>
      <c r="DJ990" s="159"/>
      <c r="DK990" s="156"/>
      <c r="DL990" s="159"/>
      <c r="DM990" s="159"/>
      <c r="DN990" s="156"/>
      <c r="DO990" s="159"/>
      <c r="DP990" s="159"/>
      <c r="DQ990" s="156"/>
      <c r="DR990" s="159"/>
      <c r="DS990" s="159"/>
      <c r="DT990" s="156"/>
      <c r="DU990" s="159"/>
      <c r="DV990" s="159"/>
      <c r="DW990" s="156"/>
      <c r="DX990" s="159"/>
      <c r="DY990" s="159"/>
      <c r="DZ990" s="156"/>
      <c r="EA990" s="159"/>
      <c r="EB990" s="159"/>
      <c r="EC990" s="156"/>
      <c r="ED990" s="159"/>
      <c r="EE990" s="159"/>
      <c r="EF990" s="156"/>
      <c r="EG990" s="159"/>
      <c r="EH990" s="159"/>
      <c r="EI990" s="156"/>
      <c r="EJ990" s="159"/>
      <c r="EK990" s="159"/>
      <c r="EL990" s="156"/>
      <c r="EM990" s="159"/>
      <c r="EN990" s="159"/>
      <c r="EO990" s="156"/>
      <c r="EP990" s="159"/>
      <c r="EQ990" s="159"/>
      <c r="ER990" s="156"/>
      <c r="ES990" s="159"/>
      <c r="ET990" s="159"/>
      <c r="EU990" s="156"/>
      <c r="EV990" s="159"/>
      <c r="EW990" s="159"/>
      <c r="EX990" s="156"/>
      <c r="EY990" s="159"/>
      <c r="EZ990" s="159"/>
      <c r="FA990" s="156"/>
      <c r="FB990" s="159"/>
      <c r="FC990" s="159"/>
      <c r="FD990" s="156"/>
      <c r="FE990" s="159"/>
      <c r="FF990" s="159"/>
      <c r="FG990" s="156"/>
      <c r="FH990" s="159"/>
      <c r="FI990" s="159"/>
      <c r="FJ990" s="156"/>
      <c r="FK990" s="159"/>
      <c r="FL990" s="159"/>
      <c r="FM990" s="156"/>
      <c r="FN990" s="159"/>
      <c r="FO990" s="159"/>
      <c r="FP990" s="156"/>
      <c r="FQ990" s="159"/>
      <c r="FR990" s="159"/>
      <c r="FS990" s="156"/>
      <c r="FT990" s="159"/>
      <c r="FU990" s="159"/>
      <c r="FV990" s="156"/>
      <c r="FW990" s="159"/>
      <c r="FX990" s="159"/>
      <c r="FY990" s="156"/>
      <c r="FZ990" s="159"/>
      <c r="GA990" s="159"/>
      <c r="GB990" s="156"/>
      <c r="GC990" s="159"/>
      <c r="GD990" s="159"/>
      <c r="GE990" s="156"/>
      <c r="GF990" s="159"/>
      <c r="GG990" s="159"/>
      <c r="GH990" s="156"/>
      <c r="GI990" s="159"/>
      <c r="GJ990" s="159"/>
      <c r="GK990" s="156"/>
      <c r="GL990" s="159"/>
      <c r="GM990" s="159"/>
      <c r="GN990" s="156"/>
      <c r="GO990" s="159"/>
      <c r="GP990" s="159"/>
      <c r="GQ990" s="156"/>
      <c r="GR990" s="159"/>
      <c r="GS990" s="159"/>
      <c r="GT990" s="156"/>
      <c r="GU990" s="159"/>
      <c r="GV990" s="159"/>
      <c r="GW990" s="156"/>
      <c r="GX990" s="159"/>
      <c r="GY990" s="159"/>
      <c r="GZ990" s="156"/>
      <c r="HA990" s="159"/>
      <c r="HB990" s="159"/>
      <c r="HC990" s="156"/>
      <c r="HD990" s="159"/>
      <c r="HE990" s="159"/>
      <c r="HF990" s="156"/>
      <c r="HG990" s="159"/>
      <c r="HH990" s="159"/>
      <c r="HI990" s="156"/>
      <c r="HJ990" s="159"/>
      <c r="HK990" s="159"/>
      <c r="HL990" s="156"/>
      <c r="HM990" s="159"/>
      <c r="HN990" s="159"/>
      <c r="HO990" s="156"/>
      <c r="HP990" s="159"/>
      <c r="HQ990" s="159"/>
      <c r="HR990" s="156"/>
      <c r="HS990" s="159"/>
      <c r="HT990" s="159"/>
      <c r="HU990" s="156"/>
      <c r="HV990" s="159"/>
      <c r="HW990" s="159"/>
      <c r="HX990" s="156"/>
      <c r="HY990" s="159"/>
      <c r="HZ990" s="159"/>
      <c r="IA990" s="156"/>
      <c r="IB990" s="159"/>
      <c r="IC990" s="159"/>
      <c r="ID990" s="156"/>
      <c r="IE990" s="159"/>
      <c r="IF990" s="159"/>
      <c r="IG990" s="156"/>
      <c r="IH990" s="159"/>
      <c r="II990" s="159"/>
      <c r="IJ990" s="156"/>
      <c r="IK990" s="159"/>
      <c r="IL990" s="159"/>
      <c r="IM990" s="156"/>
      <c r="IN990" s="159"/>
      <c r="IO990" s="159"/>
      <c r="IP990" s="156"/>
      <c r="IQ990" s="159"/>
      <c r="IR990" s="159"/>
      <c r="IS990" s="156"/>
      <c r="IT990" s="159"/>
      <c r="IU990" s="159"/>
      <c r="IV990" s="156"/>
    </row>
    <row r="991" spans="1:256" ht="15.75">
      <c r="A991" s="132"/>
      <c r="B991" s="147"/>
      <c r="C991" s="132" t="s">
        <v>816</v>
      </c>
      <c r="D991" s="129"/>
      <c r="E991" s="129"/>
      <c r="F991" s="130"/>
      <c r="G991" s="399"/>
      <c r="H991" s="120"/>
      <c r="I991" s="417"/>
      <c r="J991" s="120"/>
      <c r="K991" s="404"/>
      <c r="L991" s="120">
        <f t="shared" si="321"/>
        <v>0</v>
      </c>
      <c r="M991" s="120">
        <f t="shared" si="322"/>
        <v>0</v>
      </c>
      <c r="N991" s="120">
        <f t="shared" si="318"/>
        <v>0</v>
      </c>
      <c r="O991" s="404">
        <f t="shared" si="323"/>
        <v>0</v>
      </c>
      <c r="P991" s="127">
        <f t="shared" si="324"/>
        <v>0</v>
      </c>
      <c r="Q991" s="129"/>
      <c r="R991" s="129"/>
      <c r="S991" s="132"/>
      <c r="T991" s="129"/>
      <c r="U991" s="129"/>
      <c r="V991" s="132"/>
      <c r="W991" s="129"/>
      <c r="X991" s="129"/>
      <c r="Y991" s="132"/>
      <c r="Z991" s="129"/>
      <c r="AA991" s="129"/>
      <c r="AB991" s="132"/>
      <c r="AC991" s="129"/>
      <c r="AD991" s="129"/>
      <c r="AE991" s="132"/>
      <c r="AF991" s="129"/>
      <c r="AG991" s="129"/>
      <c r="AH991" s="132"/>
      <c r="AI991" s="129"/>
      <c r="AJ991" s="129"/>
      <c r="AK991" s="132"/>
      <c r="AL991" s="129"/>
      <c r="AM991" s="129"/>
      <c r="AN991" s="132"/>
      <c r="AO991" s="129"/>
      <c r="AP991" s="129"/>
      <c r="AQ991" s="132"/>
      <c r="AR991" s="129"/>
      <c r="AS991" s="129"/>
      <c r="AT991" s="132"/>
      <c r="AU991" s="129"/>
      <c r="AV991" s="129"/>
      <c r="AW991" s="132"/>
      <c r="AX991" s="129"/>
      <c r="AY991" s="129"/>
      <c r="AZ991" s="132"/>
      <c r="BA991" s="129"/>
      <c r="BB991" s="129"/>
      <c r="BC991" s="132"/>
      <c r="BD991" s="129"/>
      <c r="BE991" s="129"/>
      <c r="BF991" s="132"/>
      <c r="BG991" s="129"/>
      <c r="BH991" s="129"/>
      <c r="BI991" s="132"/>
      <c r="BJ991" s="129"/>
      <c r="BK991" s="129"/>
      <c r="BL991" s="132"/>
      <c r="BM991" s="129"/>
      <c r="BN991" s="129"/>
      <c r="BO991" s="132"/>
      <c r="BP991" s="129"/>
      <c r="BQ991" s="129"/>
      <c r="BR991" s="132"/>
      <c r="BS991" s="129"/>
      <c r="BT991" s="129"/>
      <c r="BU991" s="132"/>
      <c r="BV991" s="129"/>
      <c r="BW991" s="129"/>
      <c r="BX991" s="132"/>
      <c r="BY991" s="129"/>
      <c r="BZ991" s="129"/>
      <c r="CA991" s="132"/>
      <c r="CB991" s="129"/>
      <c r="CC991" s="129"/>
      <c r="CD991" s="132"/>
      <c r="CE991" s="129"/>
      <c r="CF991" s="129"/>
      <c r="CG991" s="132"/>
      <c r="CH991" s="129"/>
      <c r="CI991" s="129"/>
      <c r="CJ991" s="132"/>
      <c r="CK991" s="129"/>
      <c r="CL991" s="129"/>
      <c r="CM991" s="132"/>
      <c r="CN991" s="129"/>
      <c r="CO991" s="129"/>
      <c r="CP991" s="132"/>
      <c r="CQ991" s="129"/>
      <c r="CR991" s="129"/>
      <c r="CS991" s="132"/>
      <c r="CT991" s="129"/>
      <c r="CU991" s="129"/>
      <c r="CV991" s="132"/>
      <c r="CW991" s="129"/>
      <c r="CX991" s="129"/>
      <c r="CY991" s="132"/>
      <c r="CZ991" s="129"/>
      <c r="DA991" s="129"/>
      <c r="DB991" s="132"/>
      <c r="DC991" s="129"/>
      <c r="DD991" s="129"/>
      <c r="DE991" s="132"/>
      <c r="DF991" s="129"/>
      <c r="DG991" s="129"/>
      <c r="DH991" s="132"/>
      <c r="DI991" s="129"/>
      <c r="DJ991" s="129"/>
      <c r="DK991" s="132"/>
      <c r="DL991" s="129"/>
      <c r="DM991" s="129"/>
      <c r="DN991" s="132"/>
      <c r="DO991" s="129"/>
      <c r="DP991" s="129"/>
      <c r="DQ991" s="132"/>
      <c r="DR991" s="129"/>
      <c r="DS991" s="129"/>
      <c r="DT991" s="132"/>
      <c r="DU991" s="129"/>
      <c r="DV991" s="129"/>
      <c r="DW991" s="132"/>
      <c r="DX991" s="129"/>
      <c r="DY991" s="129"/>
      <c r="DZ991" s="132"/>
      <c r="EA991" s="129"/>
      <c r="EB991" s="129"/>
      <c r="EC991" s="132"/>
      <c r="ED991" s="129"/>
      <c r="EE991" s="129"/>
      <c r="EF991" s="132"/>
      <c r="EG991" s="129"/>
      <c r="EH991" s="129"/>
      <c r="EI991" s="132"/>
      <c r="EJ991" s="129"/>
      <c r="EK991" s="129"/>
      <c r="EL991" s="132"/>
      <c r="EM991" s="129"/>
      <c r="EN991" s="129"/>
      <c r="EO991" s="132"/>
      <c r="EP991" s="129"/>
      <c r="EQ991" s="129"/>
      <c r="ER991" s="132"/>
      <c r="ES991" s="129"/>
      <c r="ET991" s="129"/>
      <c r="EU991" s="132"/>
      <c r="EV991" s="129"/>
      <c r="EW991" s="129"/>
      <c r="EX991" s="132"/>
      <c r="EY991" s="129"/>
      <c r="EZ991" s="129"/>
      <c r="FA991" s="132"/>
      <c r="FB991" s="129"/>
      <c r="FC991" s="129"/>
      <c r="FD991" s="132"/>
      <c r="FE991" s="129"/>
      <c r="FF991" s="129"/>
      <c r="FG991" s="132"/>
      <c r="FH991" s="129"/>
      <c r="FI991" s="129"/>
      <c r="FJ991" s="132"/>
      <c r="FK991" s="129"/>
      <c r="FL991" s="129"/>
      <c r="FM991" s="132"/>
      <c r="FN991" s="129"/>
      <c r="FO991" s="129"/>
      <c r="FP991" s="132"/>
      <c r="FQ991" s="129"/>
      <c r="FR991" s="129"/>
      <c r="FS991" s="132"/>
      <c r="FT991" s="129"/>
      <c r="FU991" s="129"/>
      <c r="FV991" s="132"/>
      <c r="FW991" s="129"/>
      <c r="FX991" s="129"/>
      <c r="FY991" s="132"/>
      <c r="FZ991" s="129"/>
      <c r="GA991" s="129"/>
      <c r="GB991" s="132"/>
      <c r="GC991" s="129"/>
      <c r="GD991" s="129"/>
      <c r="GE991" s="132"/>
      <c r="GF991" s="129"/>
      <c r="GG991" s="129"/>
      <c r="GH991" s="132"/>
      <c r="GI991" s="129"/>
      <c r="GJ991" s="129"/>
      <c r="GK991" s="132"/>
      <c r="GL991" s="129"/>
      <c r="GM991" s="129"/>
      <c r="GN991" s="132"/>
      <c r="GO991" s="129"/>
      <c r="GP991" s="129"/>
      <c r="GQ991" s="132"/>
      <c r="GR991" s="129"/>
      <c r="GS991" s="129"/>
      <c r="GT991" s="132"/>
      <c r="GU991" s="129"/>
      <c r="GV991" s="129"/>
      <c r="GW991" s="132"/>
      <c r="GX991" s="129"/>
      <c r="GY991" s="129"/>
      <c r="GZ991" s="132"/>
      <c r="HA991" s="129"/>
      <c r="HB991" s="129"/>
      <c r="HC991" s="132"/>
      <c r="HD991" s="129"/>
      <c r="HE991" s="129"/>
      <c r="HF991" s="132"/>
      <c r="HG991" s="129"/>
      <c r="HH991" s="129"/>
      <c r="HI991" s="132"/>
      <c r="HJ991" s="129"/>
      <c r="HK991" s="129"/>
      <c r="HL991" s="132"/>
      <c r="HM991" s="129"/>
      <c r="HN991" s="129"/>
      <c r="HO991" s="132"/>
      <c r="HP991" s="129"/>
      <c r="HQ991" s="129"/>
      <c r="HR991" s="132"/>
      <c r="HS991" s="129"/>
      <c r="HT991" s="129"/>
      <c r="HU991" s="132"/>
      <c r="HV991" s="129"/>
      <c r="HW991" s="129"/>
      <c r="HX991" s="132"/>
      <c r="HY991" s="129"/>
      <c r="HZ991" s="129"/>
      <c r="IA991" s="132"/>
      <c r="IB991" s="129"/>
      <c r="IC991" s="129"/>
      <c r="ID991" s="132"/>
      <c r="IE991" s="129"/>
      <c r="IF991" s="129"/>
      <c r="IG991" s="132"/>
      <c r="IH991" s="129"/>
      <c r="II991" s="129"/>
      <c r="IJ991" s="132"/>
      <c r="IK991" s="129"/>
      <c r="IL991" s="129"/>
      <c r="IM991" s="132"/>
      <c r="IN991" s="129"/>
      <c r="IO991" s="129"/>
      <c r="IP991" s="132"/>
      <c r="IQ991" s="129"/>
      <c r="IR991" s="129"/>
      <c r="IS991" s="132"/>
      <c r="IT991" s="129"/>
      <c r="IU991" s="129"/>
      <c r="IV991" s="132"/>
    </row>
    <row r="992" spans="1:256" ht="15.75">
      <c r="A992" s="132"/>
      <c r="B992" s="118" t="s">
        <v>817</v>
      </c>
      <c r="C992" s="132" t="s">
        <v>818</v>
      </c>
      <c r="D992" s="129"/>
      <c r="E992" s="129"/>
      <c r="F992" s="130"/>
      <c r="G992" s="399" t="s">
        <v>362</v>
      </c>
      <c r="H992" s="120">
        <v>18232.09</v>
      </c>
      <c r="I992" s="417">
        <v>2.4</v>
      </c>
      <c r="J992" s="120">
        <v>1.04</v>
      </c>
      <c r="K992" s="404"/>
      <c r="L992" s="120">
        <f t="shared" si="321"/>
        <v>1.04</v>
      </c>
      <c r="M992" s="120">
        <f t="shared" si="322"/>
        <v>43757.015999999996</v>
      </c>
      <c r="N992" s="120">
        <f t="shared" si="318"/>
        <v>18961.373599999999</v>
      </c>
      <c r="O992" s="404">
        <f t="shared" si="323"/>
        <v>0</v>
      </c>
      <c r="P992" s="127">
        <f t="shared" si="324"/>
        <v>18961.373599999999</v>
      </c>
      <c r="Q992" s="129"/>
      <c r="R992" s="129"/>
      <c r="S992" s="132"/>
      <c r="T992" s="129"/>
      <c r="U992" s="129"/>
      <c r="V992" s="132"/>
      <c r="W992" s="129"/>
      <c r="X992" s="129"/>
      <c r="Y992" s="132"/>
      <c r="Z992" s="129"/>
      <c r="AA992" s="129"/>
      <c r="AB992" s="132"/>
      <c r="AC992" s="129"/>
      <c r="AD992" s="129"/>
      <c r="AE992" s="132"/>
      <c r="AF992" s="129"/>
      <c r="AG992" s="129"/>
      <c r="AH992" s="132"/>
      <c r="AI992" s="129"/>
      <c r="AJ992" s="129"/>
      <c r="AK992" s="132"/>
      <c r="AL992" s="129"/>
      <c r="AM992" s="129"/>
      <c r="AN992" s="132"/>
      <c r="AO992" s="129"/>
      <c r="AP992" s="129"/>
      <c r="AQ992" s="132"/>
      <c r="AR992" s="129"/>
      <c r="AS992" s="129"/>
      <c r="AT992" s="132"/>
      <c r="AU992" s="129"/>
      <c r="AV992" s="129"/>
      <c r="AW992" s="132"/>
      <c r="AX992" s="129"/>
      <c r="AY992" s="129"/>
      <c r="AZ992" s="132"/>
      <c r="BA992" s="129"/>
      <c r="BB992" s="129"/>
      <c r="BC992" s="132"/>
      <c r="BD992" s="129"/>
      <c r="BE992" s="129"/>
      <c r="BF992" s="132"/>
      <c r="BG992" s="129"/>
      <c r="BH992" s="129"/>
      <c r="BI992" s="132"/>
      <c r="BJ992" s="129"/>
      <c r="BK992" s="129"/>
      <c r="BL992" s="132"/>
      <c r="BM992" s="129"/>
      <c r="BN992" s="129"/>
      <c r="BO992" s="132"/>
      <c r="BP992" s="129"/>
      <c r="BQ992" s="129"/>
      <c r="BR992" s="132"/>
      <c r="BS992" s="129"/>
      <c r="BT992" s="129"/>
      <c r="BU992" s="132"/>
      <c r="BV992" s="129"/>
      <c r="BW992" s="129"/>
      <c r="BX992" s="132"/>
      <c r="BY992" s="129"/>
      <c r="BZ992" s="129"/>
      <c r="CA992" s="132"/>
      <c r="CB992" s="129"/>
      <c r="CC992" s="129"/>
      <c r="CD992" s="132"/>
      <c r="CE992" s="129"/>
      <c r="CF992" s="129"/>
      <c r="CG992" s="132"/>
      <c r="CH992" s="129"/>
      <c r="CI992" s="129"/>
      <c r="CJ992" s="132"/>
      <c r="CK992" s="129"/>
      <c r="CL992" s="129"/>
      <c r="CM992" s="132"/>
      <c r="CN992" s="129"/>
      <c r="CO992" s="129"/>
      <c r="CP992" s="132"/>
      <c r="CQ992" s="129"/>
      <c r="CR992" s="129"/>
      <c r="CS992" s="132"/>
      <c r="CT992" s="129"/>
      <c r="CU992" s="129"/>
      <c r="CV992" s="132"/>
      <c r="CW992" s="129"/>
      <c r="CX992" s="129"/>
      <c r="CY992" s="132"/>
      <c r="CZ992" s="129"/>
      <c r="DA992" s="129"/>
      <c r="DB992" s="132"/>
      <c r="DC992" s="129"/>
      <c r="DD992" s="129"/>
      <c r="DE992" s="132"/>
      <c r="DF992" s="129"/>
      <c r="DG992" s="129"/>
      <c r="DH992" s="132"/>
      <c r="DI992" s="129"/>
      <c r="DJ992" s="129"/>
      <c r="DK992" s="132"/>
      <c r="DL992" s="129"/>
      <c r="DM992" s="129"/>
      <c r="DN992" s="132"/>
      <c r="DO992" s="129"/>
      <c r="DP992" s="129"/>
      <c r="DQ992" s="132"/>
      <c r="DR992" s="129"/>
      <c r="DS992" s="129"/>
      <c r="DT992" s="132"/>
      <c r="DU992" s="129"/>
      <c r="DV992" s="129"/>
      <c r="DW992" s="132"/>
      <c r="DX992" s="129"/>
      <c r="DY992" s="129"/>
      <c r="DZ992" s="132"/>
      <c r="EA992" s="129"/>
      <c r="EB992" s="129"/>
      <c r="EC992" s="132"/>
      <c r="ED992" s="129"/>
      <c r="EE992" s="129"/>
      <c r="EF992" s="132"/>
      <c r="EG992" s="129"/>
      <c r="EH992" s="129"/>
      <c r="EI992" s="132"/>
      <c r="EJ992" s="129"/>
      <c r="EK992" s="129"/>
      <c r="EL992" s="132"/>
      <c r="EM992" s="129"/>
      <c r="EN992" s="129"/>
      <c r="EO992" s="132"/>
      <c r="EP992" s="129"/>
      <c r="EQ992" s="129"/>
      <c r="ER992" s="132"/>
      <c r="ES992" s="129"/>
      <c r="ET992" s="129"/>
      <c r="EU992" s="132"/>
      <c r="EV992" s="129"/>
      <c r="EW992" s="129"/>
      <c r="EX992" s="132"/>
      <c r="EY992" s="129"/>
      <c r="EZ992" s="129"/>
      <c r="FA992" s="132"/>
      <c r="FB992" s="129"/>
      <c r="FC992" s="129"/>
      <c r="FD992" s="132"/>
      <c r="FE992" s="129"/>
      <c r="FF992" s="129"/>
      <c r="FG992" s="132"/>
      <c r="FH992" s="129"/>
      <c r="FI992" s="129"/>
      <c r="FJ992" s="132"/>
      <c r="FK992" s="129"/>
      <c r="FL992" s="129"/>
      <c r="FM992" s="132"/>
      <c r="FN992" s="129"/>
      <c r="FO992" s="129"/>
      <c r="FP992" s="132"/>
      <c r="FQ992" s="129"/>
      <c r="FR992" s="129"/>
      <c r="FS992" s="132"/>
      <c r="FT992" s="129"/>
      <c r="FU992" s="129"/>
      <c r="FV992" s="132"/>
      <c r="FW992" s="129"/>
      <c r="FX992" s="129"/>
      <c r="FY992" s="132"/>
      <c r="FZ992" s="129"/>
      <c r="GA992" s="129"/>
      <c r="GB992" s="132"/>
      <c r="GC992" s="129"/>
      <c r="GD992" s="129"/>
      <c r="GE992" s="132"/>
      <c r="GF992" s="129"/>
      <c r="GG992" s="129"/>
      <c r="GH992" s="132"/>
      <c r="GI992" s="129"/>
      <c r="GJ992" s="129"/>
      <c r="GK992" s="132"/>
      <c r="GL992" s="129"/>
      <c r="GM992" s="129"/>
      <c r="GN992" s="132"/>
      <c r="GO992" s="129"/>
      <c r="GP992" s="129"/>
      <c r="GQ992" s="132"/>
      <c r="GR992" s="129"/>
      <c r="GS992" s="129"/>
      <c r="GT992" s="132"/>
      <c r="GU992" s="129"/>
      <c r="GV992" s="129"/>
      <c r="GW992" s="132"/>
      <c r="GX992" s="129"/>
      <c r="GY992" s="129"/>
      <c r="GZ992" s="132"/>
      <c r="HA992" s="129"/>
      <c r="HB992" s="129"/>
      <c r="HC992" s="132"/>
      <c r="HD992" s="129"/>
      <c r="HE992" s="129"/>
      <c r="HF992" s="132"/>
      <c r="HG992" s="129"/>
      <c r="HH992" s="129"/>
      <c r="HI992" s="132"/>
      <c r="HJ992" s="129"/>
      <c r="HK992" s="129"/>
      <c r="HL992" s="132"/>
      <c r="HM992" s="129"/>
      <c r="HN992" s="129"/>
      <c r="HO992" s="132"/>
      <c r="HP992" s="129"/>
      <c r="HQ992" s="129"/>
      <c r="HR992" s="132"/>
      <c r="HS992" s="129"/>
      <c r="HT992" s="129"/>
      <c r="HU992" s="132"/>
      <c r="HV992" s="129"/>
      <c r="HW992" s="129"/>
      <c r="HX992" s="132"/>
      <c r="HY992" s="129"/>
      <c r="HZ992" s="129"/>
      <c r="IA992" s="132"/>
      <c r="IB992" s="129"/>
      <c r="IC992" s="129"/>
      <c r="ID992" s="132"/>
      <c r="IE992" s="129"/>
      <c r="IF992" s="129"/>
      <c r="IG992" s="132"/>
      <c r="IH992" s="129"/>
      <c r="II992" s="129"/>
      <c r="IJ992" s="132"/>
      <c r="IK992" s="129"/>
      <c r="IL992" s="129"/>
      <c r="IM992" s="132"/>
      <c r="IN992" s="129"/>
      <c r="IO992" s="129"/>
      <c r="IP992" s="132"/>
      <c r="IQ992" s="129"/>
      <c r="IR992" s="129"/>
      <c r="IS992" s="132"/>
      <c r="IT992" s="129"/>
      <c r="IU992" s="129"/>
      <c r="IV992" s="132"/>
    </row>
    <row r="993" spans="1:256" ht="15.75">
      <c r="A993" s="156"/>
      <c r="B993" s="118"/>
      <c r="C993" s="132"/>
      <c r="D993" s="129"/>
      <c r="E993" s="129"/>
      <c r="F993" s="130"/>
      <c r="G993" s="399"/>
      <c r="H993" s="120"/>
      <c r="I993" s="417"/>
      <c r="J993" s="120"/>
      <c r="K993" s="404"/>
      <c r="L993" s="120">
        <f t="shared" si="321"/>
        <v>0</v>
      </c>
      <c r="M993" s="120">
        <f t="shared" si="322"/>
        <v>0</v>
      </c>
      <c r="N993" s="120">
        <f t="shared" si="318"/>
        <v>0</v>
      </c>
      <c r="O993" s="404">
        <f t="shared" si="323"/>
        <v>0</v>
      </c>
      <c r="P993" s="127">
        <f t="shared" si="324"/>
        <v>0</v>
      </c>
      <c r="Q993" s="159"/>
      <c r="R993" s="159"/>
      <c r="S993" s="156"/>
      <c r="T993" s="159"/>
      <c r="U993" s="159"/>
      <c r="V993" s="156"/>
      <c r="W993" s="159"/>
      <c r="X993" s="159"/>
      <c r="Y993" s="156"/>
      <c r="Z993" s="159"/>
      <c r="AA993" s="159"/>
      <c r="AB993" s="156"/>
      <c r="AC993" s="159"/>
      <c r="AD993" s="159"/>
      <c r="AE993" s="156"/>
      <c r="AF993" s="159"/>
      <c r="AG993" s="159"/>
      <c r="AH993" s="156"/>
      <c r="AI993" s="159"/>
      <c r="AJ993" s="159"/>
      <c r="AK993" s="156"/>
      <c r="AL993" s="159"/>
      <c r="AM993" s="159"/>
      <c r="AN993" s="156"/>
      <c r="AO993" s="159"/>
      <c r="AP993" s="159"/>
      <c r="AQ993" s="156"/>
      <c r="AR993" s="159"/>
      <c r="AS993" s="159"/>
      <c r="AT993" s="156"/>
      <c r="AU993" s="159"/>
      <c r="AV993" s="159"/>
      <c r="AW993" s="156"/>
      <c r="AX993" s="159"/>
      <c r="AY993" s="159"/>
      <c r="AZ993" s="156"/>
      <c r="BA993" s="159"/>
      <c r="BB993" s="159"/>
      <c r="BC993" s="156"/>
      <c r="BD993" s="159"/>
      <c r="BE993" s="159"/>
      <c r="BF993" s="156"/>
      <c r="BG993" s="159"/>
      <c r="BH993" s="159"/>
      <c r="BI993" s="156"/>
      <c r="BJ993" s="159"/>
      <c r="BK993" s="159"/>
      <c r="BL993" s="156"/>
      <c r="BM993" s="159"/>
      <c r="BN993" s="159"/>
      <c r="BO993" s="156"/>
      <c r="BP993" s="159"/>
      <c r="BQ993" s="159"/>
      <c r="BR993" s="156"/>
      <c r="BS993" s="159"/>
      <c r="BT993" s="159"/>
      <c r="BU993" s="156"/>
      <c r="BV993" s="159"/>
      <c r="BW993" s="159"/>
      <c r="BX993" s="156"/>
      <c r="BY993" s="159"/>
      <c r="BZ993" s="159"/>
      <c r="CA993" s="156"/>
      <c r="CB993" s="159"/>
      <c r="CC993" s="159"/>
      <c r="CD993" s="156"/>
      <c r="CE993" s="159"/>
      <c r="CF993" s="159"/>
      <c r="CG993" s="156"/>
      <c r="CH993" s="159"/>
      <c r="CI993" s="159"/>
      <c r="CJ993" s="156"/>
      <c r="CK993" s="159"/>
      <c r="CL993" s="159"/>
      <c r="CM993" s="156"/>
      <c r="CN993" s="159"/>
      <c r="CO993" s="159"/>
      <c r="CP993" s="156"/>
      <c r="CQ993" s="159"/>
      <c r="CR993" s="159"/>
      <c r="CS993" s="156"/>
      <c r="CT993" s="159"/>
      <c r="CU993" s="159"/>
      <c r="CV993" s="156"/>
      <c r="CW993" s="159"/>
      <c r="CX993" s="159"/>
      <c r="CY993" s="156"/>
      <c r="CZ993" s="159"/>
      <c r="DA993" s="159"/>
      <c r="DB993" s="156"/>
      <c r="DC993" s="159"/>
      <c r="DD993" s="159"/>
      <c r="DE993" s="156"/>
      <c r="DF993" s="159"/>
      <c r="DG993" s="159"/>
      <c r="DH993" s="156"/>
      <c r="DI993" s="159"/>
      <c r="DJ993" s="159"/>
      <c r="DK993" s="156"/>
      <c r="DL993" s="159"/>
      <c r="DM993" s="159"/>
      <c r="DN993" s="156"/>
      <c r="DO993" s="159"/>
      <c r="DP993" s="159"/>
      <c r="DQ993" s="156"/>
      <c r="DR993" s="159"/>
      <c r="DS993" s="159"/>
      <c r="DT993" s="156"/>
      <c r="DU993" s="159"/>
      <c r="DV993" s="159"/>
      <c r="DW993" s="156"/>
      <c r="DX993" s="159"/>
      <c r="DY993" s="159"/>
      <c r="DZ993" s="156"/>
      <c r="EA993" s="159"/>
      <c r="EB993" s="159"/>
      <c r="EC993" s="156"/>
      <c r="ED993" s="159"/>
      <c r="EE993" s="159"/>
      <c r="EF993" s="156"/>
      <c r="EG993" s="159"/>
      <c r="EH993" s="159"/>
      <c r="EI993" s="156"/>
      <c r="EJ993" s="159"/>
      <c r="EK993" s="159"/>
      <c r="EL993" s="156"/>
      <c r="EM993" s="159"/>
      <c r="EN993" s="159"/>
      <c r="EO993" s="156"/>
      <c r="EP993" s="159"/>
      <c r="EQ993" s="159"/>
      <c r="ER993" s="156"/>
      <c r="ES993" s="159"/>
      <c r="ET993" s="159"/>
      <c r="EU993" s="156"/>
      <c r="EV993" s="159"/>
      <c r="EW993" s="159"/>
      <c r="EX993" s="156"/>
      <c r="EY993" s="159"/>
      <c r="EZ993" s="159"/>
      <c r="FA993" s="156"/>
      <c r="FB993" s="159"/>
      <c r="FC993" s="159"/>
      <c r="FD993" s="156"/>
      <c r="FE993" s="159"/>
      <c r="FF993" s="159"/>
      <c r="FG993" s="156"/>
      <c r="FH993" s="159"/>
      <c r="FI993" s="159"/>
      <c r="FJ993" s="156"/>
      <c r="FK993" s="159"/>
      <c r="FL993" s="159"/>
      <c r="FM993" s="156"/>
      <c r="FN993" s="159"/>
      <c r="FO993" s="159"/>
      <c r="FP993" s="156"/>
      <c r="FQ993" s="159"/>
      <c r="FR993" s="159"/>
      <c r="FS993" s="156"/>
      <c r="FT993" s="159"/>
      <c r="FU993" s="159"/>
      <c r="FV993" s="156"/>
      <c r="FW993" s="159"/>
      <c r="FX993" s="159"/>
      <c r="FY993" s="156"/>
      <c r="FZ993" s="159"/>
      <c r="GA993" s="159"/>
      <c r="GB993" s="156"/>
      <c r="GC993" s="159"/>
      <c r="GD993" s="159"/>
      <c r="GE993" s="156"/>
      <c r="GF993" s="159"/>
      <c r="GG993" s="159"/>
      <c r="GH993" s="156"/>
      <c r="GI993" s="159"/>
      <c r="GJ993" s="159"/>
      <c r="GK993" s="156"/>
      <c r="GL993" s="159"/>
      <c r="GM993" s="159"/>
      <c r="GN993" s="156"/>
      <c r="GO993" s="159"/>
      <c r="GP993" s="159"/>
      <c r="GQ993" s="156"/>
      <c r="GR993" s="159"/>
      <c r="GS993" s="159"/>
      <c r="GT993" s="156"/>
      <c r="GU993" s="159"/>
      <c r="GV993" s="159"/>
      <c r="GW993" s="156"/>
      <c r="GX993" s="159"/>
      <c r="GY993" s="159"/>
      <c r="GZ993" s="156"/>
      <c r="HA993" s="159"/>
      <c r="HB993" s="159"/>
      <c r="HC993" s="156"/>
      <c r="HD993" s="159"/>
      <c r="HE993" s="159"/>
      <c r="HF993" s="156"/>
      <c r="HG993" s="159"/>
      <c r="HH993" s="159"/>
      <c r="HI993" s="156"/>
      <c r="HJ993" s="159"/>
      <c r="HK993" s="159"/>
      <c r="HL993" s="156"/>
      <c r="HM993" s="159"/>
      <c r="HN993" s="159"/>
      <c r="HO993" s="156"/>
      <c r="HP993" s="159"/>
      <c r="HQ993" s="159"/>
      <c r="HR993" s="156"/>
      <c r="HS993" s="159"/>
      <c r="HT993" s="159"/>
      <c r="HU993" s="156"/>
      <c r="HV993" s="159"/>
      <c r="HW993" s="159"/>
      <c r="HX993" s="156"/>
      <c r="HY993" s="159"/>
      <c r="HZ993" s="159"/>
      <c r="IA993" s="156"/>
      <c r="IB993" s="159"/>
      <c r="IC993" s="159"/>
      <c r="ID993" s="156"/>
      <c r="IE993" s="159"/>
      <c r="IF993" s="159"/>
      <c r="IG993" s="156"/>
      <c r="IH993" s="159"/>
      <c r="II993" s="159"/>
      <c r="IJ993" s="156"/>
      <c r="IK993" s="159"/>
      <c r="IL993" s="159"/>
      <c r="IM993" s="156"/>
      <c r="IN993" s="159"/>
      <c r="IO993" s="159"/>
      <c r="IP993" s="156"/>
      <c r="IQ993" s="159"/>
      <c r="IR993" s="159"/>
      <c r="IS993" s="156"/>
      <c r="IT993" s="159"/>
      <c r="IU993" s="159"/>
      <c r="IV993" s="156"/>
    </row>
    <row r="994" spans="1:256" ht="15.75">
      <c r="A994" s="132"/>
      <c r="B994" s="118"/>
      <c r="C994" s="132"/>
      <c r="D994" s="129"/>
      <c r="E994" s="129"/>
      <c r="F994" s="130"/>
      <c r="G994" s="399"/>
      <c r="H994" s="120"/>
      <c r="I994" s="417"/>
      <c r="J994" s="120"/>
      <c r="K994" s="404"/>
      <c r="L994" s="120"/>
      <c r="M994" s="120">
        <f t="shared" si="322"/>
        <v>0</v>
      </c>
      <c r="N994" s="120">
        <f t="shared" si="318"/>
        <v>0</v>
      </c>
      <c r="O994" s="404"/>
      <c r="P994" s="127"/>
      <c r="Q994" s="129"/>
      <c r="R994" s="129"/>
      <c r="S994" s="132"/>
      <c r="T994" s="129"/>
      <c r="U994" s="129"/>
      <c r="V994" s="132"/>
      <c r="W994" s="129"/>
      <c r="X994" s="129"/>
      <c r="Y994" s="132"/>
      <c r="Z994" s="129"/>
      <c r="AA994" s="129"/>
      <c r="AB994" s="132"/>
      <c r="AC994" s="129"/>
      <c r="AD994" s="129"/>
      <c r="AE994" s="132"/>
      <c r="AF994" s="129"/>
      <c r="AG994" s="129"/>
      <c r="AH994" s="132"/>
      <c r="AI994" s="129"/>
      <c r="AJ994" s="129"/>
      <c r="AK994" s="132"/>
      <c r="AL994" s="129"/>
      <c r="AM994" s="129"/>
      <c r="AN994" s="132"/>
      <c r="AO994" s="129"/>
      <c r="AP994" s="129"/>
      <c r="AQ994" s="132"/>
      <c r="AR994" s="129"/>
      <c r="AS994" s="129"/>
      <c r="AT994" s="132"/>
      <c r="AU994" s="129"/>
      <c r="AV994" s="129"/>
      <c r="AW994" s="132"/>
      <c r="AX994" s="129"/>
      <c r="AY994" s="129"/>
      <c r="AZ994" s="132"/>
      <c r="BA994" s="129"/>
      <c r="BB994" s="129"/>
      <c r="BC994" s="132"/>
      <c r="BD994" s="129"/>
      <c r="BE994" s="129"/>
      <c r="BF994" s="132"/>
      <c r="BG994" s="129"/>
      <c r="BH994" s="129"/>
      <c r="BI994" s="132"/>
      <c r="BJ994" s="129"/>
      <c r="BK994" s="129"/>
      <c r="BL994" s="132"/>
      <c r="BM994" s="129"/>
      <c r="BN994" s="129"/>
      <c r="BO994" s="132"/>
      <c r="BP994" s="129"/>
      <c r="BQ994" s="129"/>
      <c r="BR994" s="132"/>
      <c r="BS994" s="129"/>
      <c r="BT994" s="129"/>
      <c r="BU994" s="132"/>
      <c r="BV994" s="129"/>
      <c r="BW994" s="129"/>
      <c r="BX994" s="132"/>
      <c r="BY994" s="129"/>
      <c r="BZ994" s="129"/>
      <c r="CA994" s="132"/>
      <c r="CB994" s="129"/>
      <c r="CC994" s="129"/>
      <c r="CD994" s="132"/>
      <c r="CE994" s="129"/>
      <c r="CF994" s="129"/>
      <c r="CG994" s="132"/>
      <c r="CH994" s="129"/>
      <c r="CI994" s="129"/>
      <c r="CJ994" s="132"/>
      <c r="CK994" s="129"/>
      <c r="CL994" s="129"/>
      <c r="CM994" s="132"/>
      <c r="CN994" s="129"/>
      <c r="CO994" s="129"/>
      <c r="CP994" s="132"/>
      <c r="CQ994" s="129"/>
      <c r="CR994" s="129"/>
      <c r="CS994" s="132"/>
      <c r="CT994" s="129"/>
      <c r="CU994" s="129"/>
      <c r="CV994" s="132"/>
      <c r="CW994" s="129"/>
      <c r="CX994" s="129"/>
      <c r="CY994" s="132"/>
      <c r="CZ994" s="129"/>
      <c r="DA994" s="129"/>
      <c r="DB994" s="132"/>
      <c r="DC994" s="129"/>
      <c r="DD994" s="129"/>
      <c r="DE994" s="132"/>
      <c r="DF994" s="129"/>
      <c r="DG994" s="129"/>
      <c r="DH994" s="132"/>
      <c r="DI994" s="129"/>
      <c r="DJ994" s="129"/>
      <c r="DK994" s="132"/>
      <c r="DL994" s="129"/>
      <c r="DM994" s="129"/>
      <c r="DN994" s="132"/>
      <c r="DO994" s="129"/>
      <c r="DP994" s="129"/>
      <c r="DQ994" s="132"/>
      <c r="DR994" s="129"/>
      <c r="DS994" s="129"/>
      <c r="DT994" s="132"/>
      <c r="DU994" s="129"/>
      <c r="DV994" s="129"/>
      <c r="DW994" s="132"/>
      <c r="DX994" s="129"/>
      <c r="DY994" s="129"/>
      <c r="DZ994" s="132"/>
      <c r="EA994" s="129"/>
      <c r="EB994" s="129"/>
      <c r="EC994" s="132"/>
      <c r="ED994" s="129"/>
      <c r="EE994" s="129"/>
      <c r="EF994" s="132"/>
      <c r="EG994" s="129"/>
      <c r="EH994" s="129"/>
      <c r="EI994" s="132"/>
      <c r="EJ994" s="129"/>
      <c r="EK994" s="129"/>
      <c r="EL994" s="132"/>
      <c r="EM994" s="129"/>
      <c r="EN994" s="129"/>
      <c r="EO994" s="132"/>
      <c r="EP994" s="129"/>
      <c r="EQ994" s="129"/>
      <c r="ER994" s="132"/>
      <c r="ES994" s="129"/>
      <c r="ET994" s="129"/>
      <c r="EU994" s="132"/>
      <c r="EV994" s="129"/>
      <c r="EW994" s="129"/>
      <c r="EX994" s="132"/>
      <c r="EY994" s="129"/>
      <c r="EZ994" s="129"/>
      <c r="FA994" s="132"/>
      <c r="FB994" s="129"/>
      <c r="FC994" s="129"/>
      <c r="FD994" s="132"/>
      <c r="FE994" s="129"/>
      <c r="FF994" s="129"/>
      <c r="FG994" s="132"/>
      <c r="FH994" s="129"/>
      <c r="FI994" s="129"/>
      <c r="FJ994" s="132"/>
      <c r="FK994" s="129"/>
      <c r="FL994" s="129"/>
      <c r="FM994" s="132"/>
      <c r="FN994" s="129"/>
      <c r="FO994" s="129"/>
      <c r="FP994" s="132"/>
      <c r="FQ994" s="129"/>
      <c r="FR994" s="129"/>
      <c r="FS994" s="132"/>
      <c r="FT994" s="129"/>
      <c r="FU994" s="129"/>
      <c r="FV994" s="132"/>
      <c r="FW994" s="129"/>
      <c r="FX994" s="129"/>
      <c r="FY994" s="132"/>
      <c r="FZ994" s="129"/>
      <c r="GA994" s="129"/>
      <c r="GB994" s="132"/>
      <c r="GC994" s="129"/>
      <c r="GD994" s="129"/>
      <c r="GE994" s="132"/>
      <c r="GF994" s="129"/>
      <c r="GG994" s="129"/>
      <c r="GH994" s="132"/>
      <c r="GI994" s="129"/>
      <c r="GJ994" s="129"/>
      <c r="GK994" s="132"/>
      <c r="GL994" s="129"/>
      <c r="GM994" s="129"/>
      <c r="GN994" s="132"/>
      <c r="GO994" s="129"/>
      <c r="GP994" s="129"/>
      <c r="GQ994" s="132"/>
      <c r="GR994" s="129"/>
      <c r="GS994" s="129"/>
      <c r="GT994" s="132"/>
      <c r="GU994" s="129"/>
      <c r="GV994" s="129"/>
      <c r="GW994" s="132"/>
      <c r="GX994" s="129"/>
      <c r="GY994" s="129"/>
      <c r="GZ994" s="132"/>
      <c r="HA994" s="129"/>
      <c r="HB994" s="129"/>
      <c r="HC994" s="132"/>
      <c r="HD994" s="129"/>
      <c r="HE994" s="129"/>
      <c r="HF994" s="132"/>
      <c r="HG994" s="129"/>
      <c r="HH994" s="129"/>
      <c r="HI994" s="132"/>
      <c r="HJ994" s="129"/>
      <c r="HK994" s="129"/>
      <c r="HL994" s="132"/>
      <c r="HM994" s="129"/>
      <c r="HN994" s="129"/>
      <c r="HO994" s="132"/>
      <c r="HP994" s="129"/>
      <c r="HQ994" s="129"/>
      <c r="HR994" s="132"/>
      <c r="HS994" s="129"/>
      <c r="HT994" s="129"/>
      <c r="HU994" s="132"/>
      <c r="HV994" s="129"/>
      <c r="HW994" s="129"/>
      <c r="HX994" s="132"/>
      <c r="HY994" s="129"/>
      <c r="HZ994" s="129"/>
      <c r="IA994" s="132"/>
      <c r="IB994" s="129"/>
      <c r="IC994" s="129"/>
      <c r="ID994" s="132"/>
      <c r="IE994" s="129"/>
      <c r="IF994" s="129"/>
      <c r="IG994" s="132"/>
      <c r="IH994" s="129"/>
      <c r="II994" s="129"/>
      <c r="IJ994" s="132"/>
      <c r="IK994" s="129"/>
      <c r="IL994" s="129"/>
      <c r="IM994" s="132"/>
      <c r="IN994" s="129"/>
      <c r="IO994" s="129"/>
      <c r="IP994" s="132"/>
      <c r="IQ994" s="129"/>
      <c r="IR994" s="129"/>
      <c r="IS994" s="132"/>
      <c r="IT994" s="129"/>
      <c r="IU994" s="129"/>
      <c r="IV994" s="132"/>
    </row>
    <row r="995" spans="1:256" ht="15.75">
      <c r="A995" s="132"/>
      <c r="B995" s="118" t="s">
        <v>803</v>
      </c>
      <c r="C995" s="132" t="s">
        <v>801</v>
      </c>
      <c r="D995" s="129"/>
      <c r="E995" s="129"/>
      <c r="F995" s="130"/>
      <c r="G995" s="399" t="s">
        <v>663</v>
      </c>
      <c r="H995" s="120">
        <v>53.18</v>
      </c>
      <c r="I995" s="417">
        <v>128</v>
      </c>
      <c r="J995" s="120">
        <v>113.4</v>
      </c>
      <c r="K995" s="404"/>
      <c r="L995" s="120">
        <f>J995+K995</f>
        <v>113.4</v>
      </c>
      <c r="M995" s="120">
        <f t="shared" si="322"/>
        <v>6807.04</v>
      </c>
      <c r="N995" s="120">
        <f t="shared" si="318"/>
        <v>6030.6120000000001</v>
      </c>
      <c r="O995" s="404">
        <f>H995*K995</f>
        <v>0</v>
      </c>
      <c r="P995" s="127">
        <f>H995*L995</f>
        <v>6030.6120000000001</v>
      </c>
      <c r="Q995" s="129"/>
      <c r="R995" s="129"/>
      <c r="S995" s="132"/>
      <c r="T995" s="129"/>
      <c r="U995" s="129"/>
      <c r="V995" s="132"/>
      <c r="W995" s="129"/>
      <c r="X995" s="129"/>
      <c r="Y995" s="132"/>
      <c r="Z995" s="129"/>
      <c r="AA995" s="129"/>
      <c r="AB995" s="132"/>
      <c r="AC995" s="129"/>
      <c r="AD995" s="129"/>
      <c r="AE995" s="132"/>
      <c r="AF995" s="129"/>
      <c r="AG995" s="129"/>
      <c r="AH995" s="132"/>
      <c r="AI995" s="129"/>
      <c r="AJ995" s="129"/>
      <c r="AK995" s="132"/>
      <c r="AL995" s="129"/>
      <c r="AM995" s="129"/>
      <c r="AN995" s="132"/>
      <c r="AO995" s="129"/>
      <c r="AP995" s="129"/>
      <c r="AQ995" s="132"/>
      <c r="AR995" s="129"/>
      <c r="AS995" s="129"/>
      <c r="AT995" s="132"/>
      <c r="AU995" s="129"/>
      <c r="AV995" s="129"/>
      <c r="AW995" s="132"/>
      <c r="AX995" s="129"/>
      <c r="AY995" s="129"/>
      <c r="AZ995" s="132"/>
      <c r="BA995" s="129"/>
      <c r="BB995" s="129"/>
      <c r="BC995" s="132"/>
      <c r="BD995" s="129"/>
      <c r="BE995" s="129"/>
      <c r="BF995" s="132"/>
      <c r="BG995" s="129"/>
      <c r="BH995" s="129"/>
      <c r="BI995" s="132"/>
      <c r="BJ995" s="129"/>
      <c r="BK995" s="129"/>
      <c r="BL995" s="132"/>
      <c r="BM995" s="129"/>
      <c r="BN995" s="129"/>
      <c r="BO995" s="132"/>
      <c r="BP995" s="129"/>
      <c r="BQ995" s="129"/>
      <c r="BR995" s="132"/>
      <c r="BS995" s="129"/>
      <c r="BT995" s="129"/>
      <c r="BU995" s="132"/>
      <c r="BV995" s="129"/>
      <c r="BW995" s="129"/>
      <c r="BX995" s="132"/>
      <c r="BY995" s="129"/>
      <c r="BZ995" s="129"/>
      <c r="CA995" s="132"/>
      <c r="CB995" s="129"/>
      <c r="CC995" s="129"/>
      <c r="CD995" s="132"/>
      <c r="CE995" s="129"/>
      <c r="CF995" s="129"/>
      <c r="CG995" s="132"/>
      <c r="CH995" s="129"/>
      <c r="CI995" s="129"/>
      <c r="CJ995" s="132"/>
      <c r="CK995" s="129"/>
      <c r="CL995" s="129"/>
      <c r="CM995" s="132"/>
      <c r="CN995" s="129"/>
      <c r="CO995" s="129"/>
      <c r="CP995" s="132"/>
      <c r="CQ995" s="129"/>
      <c r="CR995" s="129"/>
      <c r="CS995" s="132"/>
      <c r="CT995" s="129"/>
      <c r="CU995" s="129"/>
      <c r="CV995" s="132"/>
      <c r="CW995" s="129"/>
      <c r="CX995" s="129"/>
      <c r="CY995" s="132"/>
      <c r="CZ995" s="129"/>
      <c r="DA995" s="129"/>
      <c r="DB995" s="132"/>
      <c r="DC995" s="129"/>
      <c r="DD995" s="129"/>
      <c r="DE995" s="132"/>
      <c r="DF995" s="129"/>
      <c r="DG995" s="129"/>
      <c r="DH995" s="132"/>
      <c r="DI995" s="129"/>
      <c r="DJ995" s="129"/>
      <c r="DK995" s="132"/>
      <c r="DL995" s="129"/>
      <c r="DM995" s="129"/>
      <c r="DN995" s="132"/>
      <c r="DO995" s="129"/>
      <c r="DP995" s="129"/>
      <c r="DQ995" s="132"/>
      <c r="DR995" s="129"/>
      <c r="DS995" s="129"/>
      <c r="DT995" s="132"/>
      <c r="DU995" s="129"/>
      <c r="DV995" s="129"/>
      <c r="DW995" s="132"/>
      <c r="DX995" s="129"/>
      <c r="DY995" s="129"/>
      <c r="DZ995" s="132"/>
      <c r="EA995" s="129"/>
      <c r="EB995" s="129"/>
      <c r="EC995" s="132"/>
      <c r="ED995" s="129"/>
      <c r="EE995" s="129"/>
      <c r="EF995" s="132"/>
      <c r="EG995" s="129"/>
      <c r="EH995" s="129"/>
      <c r="EI995" s="132"/>
      <c r="EJ995" s="129"/>
      <c r="EK995" s="129"/>
      <c r="EL995" s="132"/>
      <c r="EM995" s="129"/>
      <c r="EN995" s="129"/>
      <c r="EO995" s="132"/>
      <c r="EP995" s="129"/>
      <c r="EQ995" s="129"/>
      <c r="ER995" s="132"/>
      <c r="ES995" s="129"/>
      <c r="ET995" s="129"/>
      <c r="EU995" s="132"/>
      <c r="EV995" s="129"/>
      <c r="EW995" s="129"/>
      <c r="EX995" s="132"/>
      <c r="EY995" s="129"/>
      <c r="EZ995" s="129"/>
      <c r="FA995" s="132"/>
      <c r="FB995" s="129"/>
      <c r="FC995" s="129"/>
      <c r="FD995" s="132"/>
      <c r="FE995" s="129"/>
      <c r="FF995" s="129"/>
      <c r="FG995" s="132"/>
      <c r="FH995" s="129"/>
      <c r="FI995" s="129"/>
      <c r="FJ995" s="132"/>
      <c r="FK995" s="129"/>
      <c r="FL995" s="129"/>
      <c r="FM995" s="132"/>
      <c r="FN995" s="129"/>
      <c r="FO995" s="129"/>
      <c r="FP995" s="132"/>
      <c r="FQ995" s="129"/>
      <c r="FR995" s="129"/>
      <c r="FS995" s="132"/>
      <c r="FT995" s="129"/>
      <c r="FU995" s="129"/>
      <c r="FV995" s="132"/>
      <c r="FW995" s="129"/>
      <c r="FX995" s="129"/>
      <c r="FY995" s="132"/>
      <c r="FZ995" s="129"/>
      <c r="GA995" s="129"/>
      <c r="GB995" s="132"/>
      <c r="GC995" s="129"/>
      <c r="GD995" s="129"/>
      <c r="GE995" s="132"/>
      <c r="GF995" s="129"/>
      <c r="GG995" s="129"/>
      <c r="GH995" s="132"/>
      <c r="GI995" s="129"/>
      <c r="GJ995" s="129"/>
      <c r="GK995" s="132"/>
      <c r="GL995" s="129"/>
      <c r="GM995" s="129"/>
      <c r="GN995" s="132"/>
      <c r="GO995" s="129"/>
      <c r="GP995" s="129"/>
      <c r="GQ995" s="132"/>
      <c r="GR995" s="129"/>
      <c r="GS995" s="129"/>
      <c r="GT995" s="132"/>
      <c r="GU995" s="129"/>
      <c r="GV995" s="129"/>
      <c r="GW995" s="132"/>
      <c r="GX995" s="129"/>
      <c r="GY995" s="129"/>
      <c r="GZ995" s="132"/>
      <c r="HA995" s="129"/>
      <c r="HB995" s="129"/>
      <c r="HC995" s="132"/>
      <c r="HD995" s="129"/>
      <c r="HE995" s="129"/>
      <c r="HF995" s="132"/>
      <c r="HG995" s="129"/>
      <c r="HH995" s="129"/>
      <c r="HI995" s="132"/>
      <c r="HJ995" s="129"/>
      <c r="HK995" s="129"/>
      <c r="HL995" s="132"/>
      <c r="HM995" s="129"/>
      <c r="HN995" s="129"/>
      <c r="HO995" s="132"/>
      <c r="HP995" s="129"/>
      <c r="HQ995" s="129"/>
      <c r="HR995" s="132"/>
      <c r="HS995" s="129"/>
      <c r="HT995" s="129"/>
      <c r="HU995" s="132"/>
      <c r="HV995" s="129"/>
      <c r="HW995" s="129"/>
      <c r="HX995" s="132"/>
      <c r="HY995" s="129"/>
      <c r="HZ995" s="129"/>
      <c r="IA995" s="132"/>
      <c r="IB995" s="129"/>
      <c r="IC995" s="129"/>
      <c r="ID995" s="132"/>
      <c r="IE995" s="129"/>
      <c r="IF995" s="129"/>
      <c r="IG995" s="132"/>
      <c r="IH995" s="129"/>
      <c r="II995" s="129"/>
      <c r="IJ995" s="132"/>
      <c r="IK995" s="129"/>
      <c r="IL995" s="129"/>
      <c r="IM995" s="132"/>
      <c r="IN995" s="129"/>
      <c r="IO995" s="129"/>
      <c r="IP995" s="132"/>
      <c r="IQ995" s="129"/>
      <c r="IR995" s="129"/>
      <c r="IS995" s="132"/>
      <c r="IT995" s="129"/>
      <c r="IU995" s="129"/>
      <c r="IV995" s="132"/>
    </row>
    <row r="996" spans="1:256" ht="15.75">
      <c r="A996" s="156"/>
      <c r="B996" s="147"/>
      <c r="C996" s="132"/>
      <c r="D996" s="129"/>
      <c r="E996" s="129"/>
      <c r="F996" s="130"/>
      <c r="G996" s="399"/>
      <c r="H996" s="120"/>
      <c r="I996" s="417"/>
      <c r="J996" s="120"/>
      <c r="K996" s="404"/>
      <c r="L996" s="120"/>
      <c r="M996" s="120">
        <f t="shared" si="322"/>
        <v>0</v>
      </c>
      <c r="N996" s="120">
        <f t="shared" si="318"/>
        <v>0</v>
      </c>
      <c r="O996" s="404"/>
      <c r="P996" s="127"/>
      <c r="Q996" s="159"/>
      <c r="R996" s="159"/>
      <c r="S996" s="156"/>
      <c r="T996" s="159"/>
      <c r="U996" s="159"/>
      <c r="V996" s="156"/>
      <c r="W996" s="159"/>
      <c r="X996" s="159"/>
      <c r="Y996" s="156"/>
      <c r="Z996" s="159"/>
      <c r="AA996" s="159"/>
      <c r="AB996" s="156"/>
      <c r="AC996" s="159"/>
      <c r="AD996" s="159"/>
      <c r="AE996" s="156"/>
      <c r="AF996" s="159"/>
      <c r="AG996" s="159"/>
      <c r="AH996" s="156"/>
      <c r="AI996" s="159"/>
      <c r="AJ996" s="159"/>
      <c r="AK996" s="156"/>
      <c r="AL996" s="159"/>
      <c r="AM996" s="159"/>
      <c r="AN996" s="156"/>
      <c r="AO996" s="159"/>
      <c r="AP996" s="159"/>
      <c r="AQ996" s="156"/>
      <c r="AR996" s="159"/>
      <c r="AS996" s="159"/>
      <c r="AT996" s="156"/>
      <c r="AU996" s="159"/>
      <c r="AV996" s="159"/>
      <c r="AW996" s="156"/>
      <c r="AX996" s="159"/>
      <c r="AY996" s="159"/>
      <c r="AZ996" s="156"/>
      <c r="BA996" s="159"/>
      <c r="BB996" s="159"/>
      <c r="BC996" s="156"/>
      <c r="BD996" s="159"/>
      <c r="BE996" s="159"/>
      <c r="BF996" s="156"/>
      <c r="BG996" s="159"/>
      <c r="BH996" s="159"/>
      <c r="BI996" s="156"/>
      <c r="BJ996" s="159"/>
      <c r="BK996" s="159"/>
      <c r="BL996" s="156"/>
      <c r="BM996" s="159"/>
      <c r="BN996" s="159"/>
      <c r="BO996" s="156"/>
      <c r="BP996" s="159"/>
      <c r="BQ996" s="159"/>
      <c r="BR996" s="156"/>
      <c r="BS996" s="159"/>
      <c r="BT996" s="159"/>
      <c r="BU996" s="156"/>
      <c r="BV996" s="159"/>
      <c r="BW996" s="159"/>
      <c r="BX996" s="156"/>
      <c r="BY996" s="159"/>
      <c r="BZ996" s="159"/>
      <c r="CA996" s="156"/>
      <c r="CB996" s="159"/>
      <c r="CC996" s="159"/>
      <c r="CD996" s="156"/>
      <c r="CE996" s="159"/>
      <c r="CF996" s="159"/>
      <c r="CG996" s="156"/>
      <c r="CH996" s="159"/>
      <c r="CI996" s="159"/>
      <c r="CJ996" s="156"/>
      <c r="CK996" s="159"/>
      <c r="CL996" s="159"/>
      <c r="CM996" s="156"/>
      <c r="CN996" s="159"/>
      <c r="CO996" s="159"/>
      <c r="CP996" s="156"/>
      <c r="CQ996" s="159"/>
      <c r="CR996" s="159"/>
      <c r="CS996" s="156"/>
      <c r="CT996" s="159"/>
      <c r="CU996" s="159"/>
      <c r="CV996" s="156"/>
      <c r="CW996" s="159"/>
      <c r="CX996" s="159"/>
      <c r="CY996" s="156"/>
      <c r="CZ996" s="159"/>
      <c r="DA996" s="159"/>
      <c r="DB996" s="156"/>
      <c r="DC996" s="159"/>
      <c r="DD996" s="159"/>
      <c r="DE996" s="156"/>
      <c r="DF996" s="159"/>
      <c r="DG996" s="159"/>
      <c r="DH996" s="156"/>
      <c r="DI996" s="159"/>
      <c r="DJ996" s="159"/>
      <c r="DK996" s="156"/>
      <c r="DL996" s="159"/>
      <c r="DM996" s="159"/>
      <c r="DN996" s="156"/>
      <c r="DO996" s="159"/>
      <c r="DP996" s="159"/>
      <c r="DQ996" s="156"/>
      <c r="DR996" s="159"/>
      <c r="DS996" s="159"/>
      <c r="DT996" s="156"/>
      <c r="DU996" s="159"/>
      <c r="DV996" s="159"/>
      <c r="DW996" s="156"/>
      <c r="DX996" s="159"/>
      <c r="DY996" s="159"/>
      <c r="DZ996" s="156"/>
      <c r="EA996" s="159"/>
      <c r="EB996" s="159"/>
      <c r="EC996" s="156"/>
      <c r="ED996" s="159"/>
      <c r="EE996" s="159"/>
      <c r="EF996" s="156"/>
      <c r="EG996" s="159"/>
      <c r="EH996" s="159"/>
      <c r="EI996" s="156"/>
      <c r="EJ996" s="159"/>
      <c r="EK996" s="159"/>
      <c r="EL996" s="156"/>
      <c r="EM996" s="159"/>
      <c r="EN996" s="159"/>
      <c r="EO996" s="156"/>
      <c r="EP996" s="159"/>
      <c r="EQ996" s="159"/>
      <c r="ER996" s="156"/>
      <c r="ES996" s="159"/>
      <c r="ET996" s="159"/>
      <c r="EU996" s="156"/>
      <c r="EV996" s="159"/>
      <c r="EW996" s="159"/>
      <c r="EX996" s="156"/>
      <c r="EY996" s="159"/>
      <c r="EZ996" s="159"/>
      <c r="FA996" s="156"/>
      <c r="FB996" s="159"/>
      <c r="FC996" s="159"/>
      <c r="FD996" s="156"/>
      <c r="FE996" s="159"/>
      <c r="FF996" s="159"/>
      <c r="FG996" s="156"/>
      <c r="FH996" s="159"/>
      <c r="FI996" s="159"/>
      <c r="FJ996" s="156"/>
      <c r="FK996" s="159"/>
      <c r="FL996" s="159"/>
      <c r="FM996" s="156"/>
      <c r="FN996" s="159"/>
      <c r="FO996" s="159"/>
      <c r="FP996" s="156"/>
      <c r="FQ996" s="159"/>
      <c r="FR996" s="159"/>
      <c r="FS996" s="156"/>
      <c r="FT996" s="159"/>
      <c r="FU996" s="159"/>
      <c r="FV996" s="156"/>
      <c r="FW996" s="159"/>
      <c r="FX996" s="159"/>
      <c r="FY996" s="156"/>
      <c r="FZ996" s="159"/>
      <c r="GA996" s="159"/>
      <c r="GB996" s="156"/>
      <c r="GC996" s="159"/>
      <c r="GD996" s="159"/>
      <c r="GE996" s="156"/>
      <c r="GF996" s="159"/>
      <c r="GG996" s="159"/>
      <c r="GH996" s="156"/>
      <c r="GI996" s="159"/>
      <c r="GJ996" s="159"/>
      <c r="GK996" s="156"/>
      <c r="GL996" s="159"/>
      <c r="GM996" s="159"/>
      <c r="GN996" s="156"/>
      <c r="GO996" s="159"/>
      <c r="GP996" s="159"/>
      <c r="GQ996" s="156"/>
      <c r="GR996" s="159"/>
      <c r="GS996" s="159"/>
      <c r="GT996" s="156"/>
      <c r="GU996" s="159"/>
      <c r="GV996" s="159"/>
      <c r="GW996" s="156"/>
      <c r="GX996" s="159"/>
      <c r="GY996" s="159"/>
      <c r="GZ996" s="156"/>
      <c r="HA996" s="159"/>
      <c r="HB996" s="159"/>
      <c r="HC996" s="156"/>
      <c r="HD996" s="159"/>
      <c r="HE996" s="159"/>
      <c r="HF996" s="156"/>
      <c r="HG996" s="159"/>
      <c r="HH996" s="159"/>
      <c r="HI996" s="156"/>
      <c r="HJ996" s="159"/>
      <c r="HK996" s="159"/>
      <c r="HL996" s="156"/>
      <c r="HM996" s="159"/>
      <c r="HN996" s="159"/>
      <c r="HO996" s="156"/>
      <c r="HP996" s="159"/>
      <c r="HQ996" s="159"/>
      <c r="HR996" s="156"/>
      <c r="HS996" s="159"/>
      <c r="HT996" s="159"/>
      <c r="HU996" s="156"/>
      <c r="HV996" s="159"/>
      <c r="HW996" s="159"/>
      <c r="HX996" s="156"/>
      <c r="HY996" s="159"/>
      <c r="HZ996" s="159"/>
      <c r="IA996" s="156"/>
      <c r="IB996" s="159"/>
      <c r="IC996" s="159"/>
      <c r="ID996" s="156"/>
      <c r="IE996" s="159"/>
      <c r="IF996" s="159"/>
      <c r="IG996" s="156"/>
      <c r="IH996" s="159"/>
      <c r="II996" s="159"/>
      <c r="IJ996" s="156"/>
      <c r="IK996" s="159"/>
      <c r="IL996" s="159"/>
      <c r="IM996" s="156"/>
      <c r="IN996" s="159"/>
      <c r="IO996" s="159"/>
      <c r="IP996" s="156"/>
      <c r="IQ996" s="159"/>
      <c r="IR996" s="159"/>
      <c r="IS996" s="156"/>
      <c r="IT996" s="159"/>
      <c r="IU996" s="159"/>
      <c r="IV996" s="156"/>
    </row>
    <row r="997" spans="1:256" ht="15.75">
      <c r="A997" s="132"/>
      <c r="B997" s="118"/>
      <c r="C997" s="132"/>
      <c r="D997" s="129"/>
      <c r="E997" s="129"/>
      <c r="F997" s="130"/>
      <c r="G997" s="399"/>
      <c r="H997" s="120"/>
      <c r="I997" s="417"/>
      <c r="J997" s="120"/>
      <c r="K997" s="404"/>
      <c r="L997" s="120">
        <f>J997+K997</f>
        <v>0</v>
      </c>
      <c r="M997" s="120">
        <f t="shared" si="322"/>
        <v>0</v>
      </c>
      <c r="N997" s="120">
        <f t="shared" si="318"/>
        <v>0</v>
      </c>
      <c r="O997" s="404">
        <f>H997*K997</f>
        <v>0</v>
      </c>
      <c r="P997" s="127">
        <f>H997*L997</f>
        <v>0</v>
      </c>
      <c r="Q997" s="129"/>
      <c r="R997" s="129"/>
      <c r="S997" s="132"/>
      <c r="T997" s="129"/>
      <c r="U997" s="129"/>
      <c r="V997" s="132"/>
      <c r="W997" s="129"/>
      <c r="X997" s="129"/>
      <c r="Y997" s="132"/>
      <c r="Z997" s="129"/>
      <c r="AA997" s="129"/>
      <c r="AB997" s="132"/>
      <c r="AC997" s="129"/>
      <c r="AD997" s="129"/>
      <c r="AE997" s="132"/>
      <c r="AF997" s="129"/>
      <c r="AG997" s="129"/>
      <c r="AH997" s="132"/>
      <c r="AI997" s="129"/>
      <c r="AJ997" s="129"/>
      <c r="AK997" s="132"/>
      <c r="AL997" s="129"/>
      <c r="AM997" s="129"/>
      <c r="AN997" s="132"/>
      <c r="AO997" s="129"/>
      <c r="AP997" s="129"/>
      <c r="AQ997" s="132"/>
      <c r="AR997" s="129"/>
      <c r="AS997" s="129"/>
      <c r="AT997" s="132"/>
      <c r="AU997" s="129"/>
      <c r="AV997" s="129"/>
      <c r="AW997" s="132"/>
      <c r="AX997" s="129"/>
      <c r="AY997" s="129"/>
      <c r="AZ997" s="132"/>
      <c r="BA997" s="129"/>
      <c r="BB997" s="129"/>
      <c r="BC997" s="132"/>
      <c r="BD997" s="129"/>
      <c r="BE997" s="129"/>
      <c r="BF997" s="132"/>
      <c r="BG997" s="129"/>
      <c r="BH997" s="129"/>
      <c r="BI997" s="132"/>
      <c r="BJ997" s="129"/>
      <c r="BK997" s="129"/>
      <c r="BL997" s="132"/>
      <c r="BM997" s="129"/>
      <c r="BN997" s="129"/>
      <c r="BO997" s="132"/>
      <c r="BP997" s="129"/>
      <c r="BQ997" s="129"/>
      <c r="BR997" s="132"/>
      <c r="BS997" s="129"/>
      <c r="BT997" s="129"/>
      <c r="BU997" s="132"/>
      <c r="BV997" s="129"/>
      <c r="BW997" s="129"/>
      <c r="BX997" s="132"/>
      <c r="BY997" s="129"/>
      <c r="BZ997" s="129"/>
      <c r="CA997" s="132"/>
      <c r="CB997" s="129"/>
      <c r="CC997" s="129"/>
      <c r="CD997" s="132"/>
      <c r="CE997" s="129"/>
      <c r="CF997" s="129"/>
      <c r="CG997" s="132"/>
      <c r="CH997" s="129"/>
      <c r="CI997" s="129"/>
      <c r="CJ997" s="132"/>
      <c r="CK997" s="129"/>
      <c r="CL997" s="129"/>
      <c r="CM997" s="132"/>
      <c r="CN997" s="129"/>
      <c r="CO997" s="129"/>
      <c r="CP997" s="132"/>
      <c r="CQ997" s="129"/>
      <c r="CR997" s="129"/>
      <c r="CS997" s="132"/>
      <c r="CT997" s="129"/>
      <c r="CU997" s="129"/>
      <c r="CV997" s="132"/>
      <c r="CW997" s="129"/>
      <c r="CX997" s="129"/>
      <c r="CY997" s="132"/>
      <c r="CZ997" s="129"/>
      <c r="DA997" s="129"/>
      <c r="DB997" s="132"/>
      <c r="DC997" s="129"/>
      <c r="DD997" s="129"/>
      <c r="DE997" s="132"/>
      <c r="DF997" s="129"/>
      <c r="DG997" s="129"/>
      <c r="DH997" s="132"/>
      <c r="DI997" s="129"/>
      <c r="DJ997" s="129"/>
      <c r="DK997" s="132"/>
      <c r="DL997" s="129"/>
      <c r="DM997" s="129"/>
      <c r="DN997" s="132"/>
      <c r="DO997" s="129"/>
      <c r="DP997" s="129"/>
      <c r="DQ997" s="132"/>
      <c r="DR997" s="129"/>
      <c r="DS997" s="129"/>
      <c r="DT997" s="132"/>
      <c r="DU997" s="129"/>
      <c r="DV997" s="129"/>
      <c r="DW997" s="132"/>
      <c r="DX997" s="129"/>
      <c r="DY997" s="129"/>
      <c r="DZ997" s="132"/>
      <c r="EA997" s="129"/>
      <c r="EB997" s="129"/>
      <c r="EC997" s="132"/>
      <c r="ED997" s="129"/>
      <c r="EE997" s="129"/>
      <c r="EF997" s="132"/>
      <c r="EG997" s="129"/>
      <c r="EH997" s="129"/>
      <c r="EI997" s="132"/>
      <c r="EJ997" s="129"/>
      <c r="EK997" s="129"/>
      <c r="EL997" s="132"/>
      <c r="EM997" s="129"/>
      <c r="EN997" s="129"/>
      <c r="EO997" s="132"/>
      <c r="EP997" s="129"/>
      <c r="EQ997" s="129"/>
      <c r="ER997" s="132"/>
      <c r="ES997" s="129"/>
      <c r="ET997" s="129"/>
      <c r="EU997" s="132"/>
      <c r="EV997" s="129"/>
      <c r="EW997" s="129"/>
      <c r="EX997" s="132"/>
      <c r="EY997" s="129"/>
      <c r="EZ997" s="129"/>
      <c r="FA997" s="132"/>
      <c r="FB997" s="129"/>
      <c r="FC997" s="129"/>
      <c r="FD997" s="132"/>
      <c r="FE997" s="129"/>
      <c r="FF997" s="129"/>
      <c r="FG997" s="132"/>
      <c r="FH997" s="129"/>
      <c r="FI997" s="129"/>
      <c r="FJ997" s="132"/>
      <c r="FK997" s="129"/>
      <c r="FL997" s="129"/>
      <c r="FM997" s="132"/>
      <c r="FN997" s="129"/>
      <c r="FO997" s="129"/>
      <c r="FP997" s="132"/>
      <c r="FQ997" s="129"/>
      <c r="FR997" s="129"/>
      <c r="FS997" s="132"/>
      <c r="FT997" s="129"/>
      <c r="FU997" s="129"/>
      <c r="FV997" s="132"/>
      <c r="FW997" s="129"/>
      <c r="FX997" s="129"/>
      <c r="FY997" s="132"/>
      <c r="FZ997" s="129"/>
      <c r="GA997" s="129"/>
      <c r="GB997" s="132"/>
      <c r="GC997" s="129"/>
      <c r="GD997" s="129"/>
      <c r="GE997" s="132"/>
      <c r="GF997" s="129"/>
      <c r="GG997" s="129"/>
      <c r="GH997" s="132"/>
      <c r="GI997" s="129"/>
      <c r="GJ997" s="129"/>
      <c r="GK997" s="132"/>
      <c r="GL997" s="129"/>
      <c r="GM997" s="129"/>
      <c r="GN997" s="132"/>
      <c r="GO997" s="129"/>
      <c r="GP997" s="129"/>
      <c r="GQ997" s="132"/>
      <c r="GR997" s="129"/>
      <c r="GS997" s="129"/>
      <c r="GT997" s="132"/>
      <c r="GU997" s="129"/>
      <c r="GV997" s="129"/>
      <c r="GW997" s="132"/>
      <c r="GX997" s="129"/>
      <c r="GY997" s="129"/>
      <c r="GZ997" s="132"/>
      <c r="HA997" s="129"/>
      <c r="HB997" s="129"/>
      <c r="HC997" s="132"/>
      <c r="HD997" s="129"/>
      <c r="HE997" s="129"/>
      <c r="HF997" s="132"/>
      <c r="HG997" s="129"/>
      <c r="HH997" s="129"/>
      <c r="HI997" s="132"/>
      <c r="HJ997" s="129"/>
      <c r="HK997" s="129"/>
      <c r="HL997" s="132"/>
      <c r="HM997" s="129"/>
      <c r="HN997" s="129"/>
      <c r="HO997" s="132"/>
      <c r="HP997" s="129"/>
      <c r="HQ997" s="129"/>
      <c r="HR997" s="132"/>
      <c r="HS997" s="129"/>
      <c r="HT997" s="129"/>
      <c r="HU997" s="132"/>
      <c r="HV997" s="129"/>
      <c r="HW997" s="129"/>
      <c r="HX997" s="132"/>
      <c r="HY997" s="129"/>
      <c r="HZ997" s="129"/>
      <c r="IA997" s="132"/>
      <c r="IB997" s="129"/>
      <c r="IC997" s="129"/>
      <c r="ID997" s="132"/>
      <c r="IE997" s="129"/>
      <c r="IF997" s="129"/>
      <c r="IG997" s="132"/>
      <c r="IH997" s="129"/>
      <c r="II997" s="129"/>
      <c r="IJ997" s="132"/>
      <c r="IK997" s="129"/>
      <c r="IL997" s="129"/>
      <c r="IM997" s="132"/>
      <c r="IN997" s="129"/>
      <c r="IO997" s="129"/>
      <c r="IP997" s="132"/>
      <c r="IQ997" s="129"/>
      <c r="IR997" s="129"/>
      <c r="IS997" s="132"/>
      <c r="IT997" s="129"/>
      <c r="IU997" s="129"/>
      <c r="IV997" s="132"/>
    </row>
    <row r="998" spans="1:256" ht="15.75">
      <c r="A998" s="132"/>
      <c r="B998" s="118"/>
      <c r="C998" s="132"/>
      <c r="D998" s="129"/>
      <c r="E998" s="129"/>
      <c r="F998" s="130"/>
      <c r="G998" s="399"/>
      <c r="H998" s="120"/>
      <c r="I998" s="417"/>
      <c r="J998" s="120"/>
      <c r="K998" s="404"/>
      <c r="L998" s="120"/>
      <c r="M998" s="120">
        <f t="shared" si="322"/>
        <v>0</v>
      </c>
      <c r="N998" s="120">
        <f t="shared" si="318"/>
        <v>0</v>
      </c>
      <c r="O998" s="404"/>
      <c r="P998" s="127"/>
      <c r="Q998" s="129"/>
      <c r="R998" s="129"/>
      <c r="S998" s="132"/>
      <c r="T998" s="129"/>
      <c r="U998" s="129"/>
      <c r="V998" s="132"/>
      <c r="W998" s="129"/>
      <c r="X998" s="129"/>
      <c r="Y998" s="132"/>
      <c r="Z998" s="129"/>
      <c r="AA998" s="129"/>
      <c r="AB998" s="132"/>
      <c r="AC998" s="129"/>
      <c r="AD998" s="129"/>
      <c r="AE998" s="132"/>
      <c r="AF998" s="129"/>
      <c r="AG998" s="129"/>
      <c r="AH998" s="132"/>
      <c r="AI998" s="129"/>
      <c r="AJ998" s="129"/>
      <c r="AK998" s="132"/>
      <c r="AL998" s="129"/>
      <c r="AM998" s="129"/>
      <c r="AN998" s="132"/>
      <c r="AO998" s="129"/>
      <c r="AP998" s="129"/>
      <c r="AQ998" s="132"/>
      <c r="AR998" s="129"/>
      <c r="AS998" s="129"/>
      <c r="AT998" s="132"/>
      <c r="AU998" s="129"/>
      <c r="AV998" s="129"/>
      <c r="AW998" s="132"/>
      <c r="AX998" s="129"/>
      <c r="AY998" s="129"/>
      <c r="AZ998" s="132"/>
      <c r="BA998" s="129"/>
      <c r="BB998" s="129"/>
      <c r="BC998" s="132"/>
      <c r="BD998" s="129"/>
      <c r="BE998" s="129"/>
      <c r="BF998" s="132"/>
      <c r="BG998" s="129"/>
      <c r="BH998" s="129"/>
      <c r="BI998" s="132"/>
      <c r="BJ998" s="129"/>
      <c r="BK998" s="129"/>
      <c r="BL998" s="132"/>
      <c r="BM998" s="129"/>
      <c r="BN998" s="129"/>
      <c r="BO998" s="132"/>
      <c r="BP998" s="129"/>
      <c r="BQ998" s="129"/>
      <c r="BR998" s="132"/>
      <c r="BS998" s="129"/>
      <c r="BT998" s="129"/>
      <c r="BU998" s="132"/>
      <c r="BV998" s="129"/>
      <c r="BW998" s="129"/>
      <c r="BX998" s="132"/>
      <c r="BY998" s="129"/>
      <c r="BZ998" s="129"/>
      <c r="CA998" s="132"/>
      <c r="CB998" s="129"/>
      <c r="CC998" s="129"/>
      <c r="CD998" s="132"/>
      <c r="CE998" s="129"/>
      <c r="CF998" s="129"/>
      <c r="CG998" s="132"/>
      <c r="CH998" s="129"/>
      <c r="CI998" s="129"/>
      <c r="CJ998" s="132"/>
      <c r="CK998" s="129"/>
      <c r="CL998" s="129"/>
      <c r="CM998" s="132"/>
      <c r="CN998" s="129"/>
      <c r="CO998" s="129"/>
      <c r="CP998" s="132"/>
      <c r="CQ998" s="129"/>
      <c r="CR998" s="129"/>
      <c r="CS998" s="132"/>
      <c r="CT998" s="129"/>
      <c r="CU998" s="129"/>
      <c r="CV998" s="132"/>
      <c r="CW998" s="129"/>
      <c r="CX998" s="129"/>
      <c r="CY998" s="132"/>
      <c r="CZ998" s="129"/>
      <c r="DA998" s="129"/>
      <c r="DB998" s="132"/>
      <c r="DC998" s="129"/>
      <c r="DD998" s="129"/>
      <c r="DE998" s="132"/>
      <c r="DF998" s="129"/>
      <c r="DG998" s="129"/>
      <c r="DH998" s="132"/>
      <c r="DI998" s="129"/>
      <c r="DJ998" s="129"/>
      <c r="DK998" s="132"/>
      <c r="DL998" s="129"/>
      <c r="DM998" s="129"/>
      <c r="DN998" s="132"/>
      <c r="DO998" s="129"/>
      <c r="DP998" s="129"/>
      <c r="DQ998" s="132"/>
      <c r="DR998" s="129"/>
      <c r="DS998" s="129"/>
      <c r="DT998" s="132"/>
      <c r="DU998" s="129"/>
      <c r="DV998" s="129"/>
      <c r="DW998" s="132"/>
      <c r="DX998" s="129"/>
      <c r="DY998" s="129"/>
      <c r="DZ998" s="132"/>
      <c r="EA998" s="129"/>
      <c r="EB998" s="129"/>
      <c r="EC998" s="132"/>
      <c r="ED998" s="129"/>
      <c r="EE998" s="129"/>
      <c r="EF998" s="132"/>
      <c r="EG998" s="129"/>
      <c r="EH998" s="129"/>
      <c r="EI998" s="132"/>
      <c r="EJ998" s="129"/>
      <c r="EK998" s="129"/>
      <c r="EL998" s="132"/>
      <c r="EM998" s="129"/>
      <c r="EN998" s="129"/>
      <c r="EO998" s="132"/>
      <c r="EP998" s="129"/>
      <c r="EQ998" s="129"/>
      <c r="ER998" s="132"/>
      <c r="ES998" s="129"/>
      <c r="ET998" s="129"/>
      <c r="EU998" s="132"/>
      <c r="EV998" s="129"/>
      <c r="EW998" s="129"/>
      <c r="EX998" s="132"/>
      <c r="EY998" s="129"/>
      <c r="EZ998" s="129"/>
      <c r="FA998" s="132"/>
      <c r="FB998" s="129"/>
      <c r="FC998" s="129"/>
      <c r="FD998" s="132"/>
      <c r="FE998" s="129"/>
      <c r="FF998" s="129"/>
      <c r="FG998" s="132"/>
      <c r="FH998" s="129"/>
      <c r="FI998" s="129"/>
      <c r="FJ998" s="132"/>
      <c r="FK998" s="129"/>
      <c r="FL998" s="129"/>
      <c r="FM998" s="132"/>
      <c r="FN998" s="129"/>
      <c r="FO998" s="129"/>
      <c r="FP998" s="132"/>
      <c r="FQ998" s="129"/>
      <c r="FR998" s="129"/>
      <c r="FS998" s="132"/>
      <c r="FT998" s="129"/>
      <c r="FU998" s="129"/>
      <c r="FV998" s="132"/>
      <c r="FW998" s="129"/>
      <c r="FX998" s="129"/>
      <c r="FY998" s="132"/>
      <c r="FZ998" s="129"/>
      <c r="GA998" s="129"/>
      <c r="GB998" s="132"/>
      <c r="GC998" s="129"/>
      <c r="GD998" s="129"/>
      <c r="GE998" s="132"/>
      <c r="GF998" s="129"/>
      <c r="GG998" s="129"/>
      <c r="GH998" s="132"/>
      <c r="GI998" s="129"/>
      <c r="GJ998" s="129"/>
      <c r="GK998" s="132"/>
      <c r="GL998" s="129"/>
      <c r="GM998" s="129"/>
      <c r="GN998" s="132"/>
      <c r="GO998" s="129"/>
      <c r="GP998" s="129"/>
      <c r="GQ998" s="132"/>
      <c r="GR998" s="129"/>
      <c r="GS998" s="129"/>
      <c r="GT998" s="132"/>
      <c r="GU998" s="129"/>
      <c r="GV998" s="129"/>
      <c r="GW998" s="132"/>
      <c r="GX998" s="129"/>
      <c r="GY998" s="129"/>
      <c r="GZ998" s="132"/>
      <c r="HA998" s="129"/>
      <c r="HB998" s="129"/>
      <c r="HC998" s="132"/>
      <c r="HD998" s="129"/>
      <c r="HE998" s="129"/>
      <c r="HF998" s="132"/>
      <c r="HG998" s="129"/>
      <c r="HH998" s="129"/>
      <c r="HI998" s="132"/>
      <c r="HJ998" s="129"/>
      <c r="HK998" s="129"/>
      <c r="HL998" s="132"/>
      <c r="HM998" s="129"/>
      <c r="HN998" s="129"/>
      <c r="HO998" s="132"/>
      <c r="HP998" s="129"/>
      <c r="HQ998" s="129"/>
      <c r="HR998" s="132"/>
      <c r="HS998" s="129"/>
      <c r="HT998" s="129"/>
      <c r="HU998" s="132"/>
      <c r="HV998" s="129"/>
      <c r="HW998" s="129"/>
      <c r="HX998" s="132"/>
      <c r="HY998" s="129"/>
      <c r="HZ998" s="129"/>
      <c r="IA998" s="132"/>
      <c r="IB998" s="129"/>
      <c r="IC998" s="129"/>
      <c r="ID998" s="132"/>
      <c r="IE998" s="129"/>
      <c r="IF998" s="129"/>
      <c r="IG998" s="132"/>
      <c r="IH998" s="129"/>
      <c r="II998" s="129"/>
      <c r="IJ998" s="132"/>
      <c r="IK998" s="129"/>
      <c r="IL998" s="129"/>
      <c r="IM998" s="132"/>
      <c r="IN998" s="129"/>
      <c r="IO998" s="129"/>
      <c r="IP998" s="132"/>
      <c r="IQ998" s="129"/>
      <c r="IR998" s="129"/>
      <c r="IS998" s="132"/>
      <c r="IT998" s="129"/>
      <c r="IU998" s="129"/>
      <c r="IV998" s="132"/>
    </row>
    <row r="999" spans="1:256" ht="15.75">
      <c r="A999" s="156"/>
      <c r="B999" s="118" t="s">
        <v>819</v>
      </c>
      <c r="C999" s="132" t="s">
        <v>820</v>
      </c>
      <c r="D999" s="129"/>
      <c r="E999" s="129"/>
      <c r="F999" s="130"/>
      <c r="G999" s="399" t="s">
        <v>592</v>
      </c>
      <c r="H999" s="120">
        <v>58.06</v>
      </c>
      <c r="I999" s="417">
        <v>6000</v>
      </c>
      <c r="J999" s="120">
        <v>380</v>
      </c>
      <c r="K999" s="404"/>
      <c r="L999" s="120">
        <f>J999+K999</f>
        <v>380</v>
      </c>
      <c r="M999" s="120">
        <f t="shared" si="322"/>
        <v>348360</v>
      </c>
      <c r="N999" s="120">
        <f t="shared" si="318"/>
        <v>22062.799999999999</v>
      </c>
      <c r="O999" s="404">
        <f>H999*K999</f>
        <v>0</v>
      </c>
      <c r="P999" s="127">
        <f>H999*L999</f>
        <v>22062.799999999999</v>
      </c>
      <c r="Q999" s="159"/>
      <c r="R999" s="159"/>
      <c r="S999" s="156"/>
      <c r="T999" s="159"/>
      <c r="U999" s="159"/>
      <c r="V999" s="156"/>
      <c r="W999" s="159"/>
      <c r="X999" s="159"/>
      <c r="Y999" s="156"/>
      <c r="Z999" s="159"/>
      <c r="AA999" s="159"/>
      <c r="AB999" s="156"/>
      <c r="AC999" s="159"/>
      <c r="AD999" s="159"/>
      <c r="AE999" s="156"/>
      <c r="AF999" s="159"/>
      <c r="AG999" s="159"/>
      <c r="AH999" s="156"/>
      <c r="AI999" s="159"/>
      <c r="AJ999" s="159"/>
      <c r="AK999" s="156"/>
      <c r="AL999" s="159"/>
      <c r="AM999" s="159"/>
      <c r="AN999" s="156"/>
      <c r="AO999" s="159"/>
      <c r="AP999" s="159"/>
      <c r="AQ999" s="156"/>
      <c r="AR999" s="159"/>
      <c r="AS999" s="159"/>
      <c r="AT999" s="156"/>
      <c r="AU999" s="159"/>
      <c r="AV999" s="159"/>
      <c r="AW999" s="156"/>
      <c r="AX999" s="159"/>
      <c r="AY999" s="159"/>
      <c r="AZ999" s="156"/>
      <c r="BA999" s="159"/>
      <c r="BB999" s="159"/>
      <c r="BC999" s="156"/>
      <c r="BD999" s="159"/>
      <c r="BE999" s="159"/>
      <c r="BF999" s="156"/>
      <c r="BG999" s="159"/>
      <c r="BH999" s="159"/>
      <c r="BI999" s="156"/>
      <c r="BJ999" s="159"/>
      <c r="BK999" s="159"/>
      <c r="BL999" s="156"/>
      <c r="BM999" s="159"/>
      <c r="BN999" s="159"/>
      <c r="BO999" s="156"/>
      <c r="BP999" s="159"/>
      <c r="BQ999" s="159"/>
      <c r="BR999" s="156"/>
      <c r="BS999" s="159"/>
      <c r="BT999" s="159"/>
      <c r="BU999" s="156"/>
      <c r="BV999" s="159"/>
      <c r="BW999" s="159"/>
      <c r="BX999" s="156"/>
      <c r="BY999" s="159"/>
      <c r="BZ999" s="159"/>
      <c r="CA999" s="156"/>
      <c r="CB999" s="159"/>
      <c r="CC999" s="159"/>
      <c r="CD999" s="156"/>
      <c r="CE999" s="159"/>
      <c r="CF999" s="159"/>
      <c r="CG999" s="156"/>
      <c r="CH999" s="159"/>
      <c r="CI999" s="159"/>
      <c r="CJ999" s="156"/>
      <c r="CK999" s="159"/>
      <c r="CL999" s="159"/>
      <c r="CM999" s="156"/>
      <c r="CN999" s="159"/>
      <c r="CO999" s="159"/>
      <c r="CP999" s="156"/>
      <c r="CQ999" s="159"/>
      <c r="CR999" s="159"/>
      <c r="CS999" s="156"/>
      <c r="CT999" s="159"/>
      <c r="CU999" s="159"/>
      <c r="CV999" s="156"/>
      <c r="CW999" s="159"/>
      <c r="CX999" s="159"/>
      <c r="CY999" s="156"/>
      <c r="CZ999" s="159"/>
      <c r="DA999" s="159"/>
      <c r="DB999" s="156"/>
      <c r="DC999" s="159"/>
      <c r="DD999" s="159"/>
      <c r="DE999" s="156"/>
      <c r="DF999" s="159"/>
      <c r="DG999" s="159"/>
      <c r="DH999" s="156"/>
      <c r="DI999" s="159"/>
      <c r="DJ999" s="159"/>
      <c r="DK999" s="156"/>
      <c r="DL999" s="159"/>
      <c r="DM999" s="159"/>
      <c r="DN999" s="156"/>
      <c r="DO999" s="159"/>
      <c r="DP999" s="159"/>
      <c r="DQ999" s="156"/>
      <c r="DR999" s="159"/>
      <c r="DS999" s="159"/>
      <c r="DT999" s="156"/>
      <c r="DU999" s="159"/>
      <c r="DV999" s="159"/>
      <c r="DW999" s="156"/>
      <c r="DX999" s="159"/>
      <c r="DY999" s="159"/>
      <c r="DZ999" s="156"/>
      <c r="EA999" s="159"/>
      <c r="EB999" s="159"/>
      <c r="EC999" s="156"/>
      <c r="ED999" s="159"/>
      <c r="EE999" s="159"/>
      <c r="EF999" s="156"/>
      <c r="EG999" s="159"/>
      <c r="EH999" s="159"/>
      <c r="EI999" s="156"/>
      <c r="EJ999" s="159"/>
      <c r="EK999" s="159"/>
      <c r="EL999" s="156"/>
      <c r="EM999" s="159"/>
      <c r="EN999" s="159"/>
      <c r="EO999" s="156"/>
      <c r="EP999" s="159"/>
      <c r="EQ999" s="159"/>
      <c r="ER999" s="156"/>
      <c r="ES999" s="159"/>
      <c r="ET999" s="159"/>
      <c r="EU999" s="156"/>
      <c r="EV999" s="159"/>
      <c r="EW999" s="159"/>
      <c r="EX999" s="156"/>
      <c r="EY999" s="159"/>
      <c r="EZ999" s="159"/>
      <c r="FA999" s="156"/>
      <c r="FB999" s="159"/>
      <c r="FC999" s="159"/>
      <c r="FD999" s="156"/>
      <c r="FE999" s="159"/>
      <c r="FF999" s="159"/>
      <c r="FG999" s="156"/>
      <c r="FH999" s="159"/>
      <c r="FI999" s="159"/>
      <c r="FJ999" s="156"/>
      <c r="FK999" s="159"/>
      <c r="FL999" s="159"/>
      <c r="FM999" s="156"/>
      <c r="FN999" s="159"/>
      <c r="FO999" s="159"/>
      <c r="FP999" s="156"/>
      <c r="FQ999" s="159"/>
      <c r="FR999" s="159"/>
      <c r="FS999" s="156"/>
      <c r="FT999" s="159"/>
      <c r="FU999" s="159"/>
      <c r="FV999" s="156"/>
      <c r="FW999" s="159"/>
      <c r="FX999" s="159"/>
      <c r="FY999" s="156"/>
      <c r="FZ999" s="159"/>
      <c r="GA999" s="159"/>
      <c r="GB999" s="156"/>
      <c r="GC999" s="159"/>
      <c r="GD999" s="159"/>
      <c r="GE999" s="156"/>
      <c r="GF999" s="159"/>
      <c r="GG999" s="159"/>
      <c r="GH999" s="156"/>
      <c r="GI999" s="159"/>
      <c r="GJ999" s="159"/>
      <c r="GK999" s="156"/>
      <c r="GL999" s="159"/>
      <c r="GM999" s="159"/>
      <c r="GN999" s="156"/>
      <c r="GO999" s="159"/>
      <c r="GP999" s="159"/>
      <c r="GQ999" s="156"/>
      <c r="GR999" s="159"/>
      <c r="GS999" s="159"/>
      <c r="GT999" s="156"/>
      <c r="GU999" s="159"/>
      <c r="GV999" s="159"/>
      <c r="GW999" s="156"/>
      <c r="GX999" s="159"/>
      <c r="GY999" s="159"/>
      <c r="GZ999" s="156"/>
      <c r="HA999" s="159"/>
      <c r="HB999" s="159"/>
      <c r="HC999" s="156"/>
      <c r="HD999" s="159"/>
      <c r="HE999" s="159"/>
      <c r="HF999" s="156"/>
      <c r="HG999" s="159"/>
      <c r="HH999" s="159"/>
      <c r="HI999" s="156"/>
      <c r="HJ999" s="159"/>
      <c r="HK999" s="159"/>
      <c r="HL999" s="156"/>
      <c r="HM999" s="159"/>
      <c r="HN999" s="159"/>
      <c r="HO999" s="156"/>
      <c r="HP999" s="159"/>
      <c r="HQ999" s="159"/>
      <c r="HR999" s="156"/>
      <c r="HS999" s="159"/>
      <c r="HT999" s="159"/>
      <c r="HU999" s="156"/>
      <c r="HV999" s="159"/>
      <c r="HW999" s="159"/>
      <c r="HX999" s="156"/>
      <c r="HY999" s="159"/>
      <c r="HZ999" s="159"/>
      <c r="IA999" s="156"/>
      <c r="IB999" s="159"/>
      <c r="IC999" s="159"/>
      <c r="ID999" s="156"/>
      <c r="IE999" s="159"/>
      <c r="IF999" s="159"/>
      <c r="IG999" s="156"/>
      <c r="IH999" s="159"/>
      <c r="II999" s="159"/>
      <c r="IJ999" s="156"/>
      <c r="IK999" s="159"/>
      <c r="IL999" s="159"/>
      <c r="IM999" s="156"/>
      <c r="IN999" s="159"/>
      <c r="IO999" s="159"/>
      <c r="IP999" s="156"/>
      <c r="IQ999" s="159"/>
      <c r="IR999" s="159"/>
      <c r="IS999" s="156"/>
      <c r="IT999" s="159"/>
      <c r="IU999" s="159"/>
      <c r="IV999" s="156"/>
    </row>
    <row r="1000" spans="1:256" ht="15.75">
      <c r="A1000" s="132"/>
      <c r="B1000" s="118"/>
      <c r="C1000" s="132"/>
      <c r="D1000" s="129"/>
      <c r="E1000" s="129"/>
      <c r="F1000" s="130"/>
      <c r="G1000" s="399"/>
      <c r="H1000" s="120"/>
      <c r="I1000" s="417"/>
      <c r="J1000" s="120"/>
      <c r="K1000" s="404"/>
      <c r="L1000" s="120">
        <f>J1000+K1000</f>
        <v>0</v>
      </c>
      <c r="M1000" s="120">
        <f t="shared" si="322"/>
        <v>0</v>
      </c>
      <c r="N1000" s="120">
        <f t="shared" si="318"/>
        <v>0</v>
      </c>
      <c r="O1000" s="404">
        <f>H1000*K1000</f>
        <v>0</v>
      </c>
      <c r="P1000" s="127">
        <f>H1000*L1000</f>
        <v>0</v>
      </c>
      <c r="Q1000" s="129"/>
      <c r="R1000" s="129"/>
      <c r="S1000" s="132"/>
      <c r="T1000" s="129"/>
      <c r="U1000" s="129"/>
      <c r="V1000" s="132"/>
      <c r="W1000" s="129"/>
      <c r="X1000" s="129"/>
      <c r="Y1000" s="132"/>
      <c r="Z1000" s="129"/>
      <c r="AA1000" s="129"/>
      <c r="AB1000" s="132"/>
      <c r="AC1000" s="129"/>
      <c r="AD1000" s="129"/>
      <c r="AE1000" s="132"/>
      <c r="AF1000" s="129"/>
      <c r="AG1000" s="129"/>
      <c r="AH1000" s="132"/>
      <c r="AI1000" s="129"/>
      <c r="AJ1000" s="129"/>
      <c r="AK1000" s="132"/>
      <c r="AL1000" s="129"/>
      <c r="AM1000" s="129"/>
      <c r="AN1000" s="132"/>
      <c r="AO1000" s="129"/>
      <c r="AP1000" s="129"/>
      <c r="AQ1000" s="132"/>
      <c r="AR1000" s="129"/>
      <c r="AS1000" s="129"/>
      <c r="AT1000" s="132"/>
      <c r="AU1000" s="129"/>
      <c r="AV1000" s="129"/>
      <c r="AW1000" s="132"/>
      <c r="AX1000" s="129"/>
      <c r="AY1000" s="129"/>
      <c r="AZ1000" s="132"/>
      <c r="BA1000" s="129"/>
      <c r="BB1000" s="129"/>
      <c r="BC1000" s="132"/>
      <c r="BD1000" s="129"/>
      <c r="BE1000" s="129"/>
      <c r="BF1000" s="132"/>
      <c r="BG1000" s="129"/>
      <c r="BH1000" s="129"/>
      <c r="BI1000" s="132"/>
      <c r="BJ1000" s="129"/>
      <c r="BK1000" s="129"/>
      <c r="BL1000" s="132"/>
      <c r="BM1000" s="129"/>
      <c r="BN1000" s="129"/>
      <c r="BO1000" s="132"/>
      <c r="BP1000" s="129"/>
      <c r="BQ1000" s="129"/>
      <c r="BR1000" s="132"/>
      <c r="BS1000" s="129"/>
      <c r="BT1000" s="129"/>
      <c r="BU1000" s="132"/>
      <c r="BV1000" s="129"/>
      <c r="BW1000" s="129"/>
      <c r="BX1000" s="132"/>
      <c r="BY1000" s="129"/>
      <c r="BZ1000" s="129"/>
      <c r="CA1000" s="132"/>
      <c r="CB1000" s="129"/>
      <c r="CC1000" s="129"/>
      <c r="CD1000" s="132"/>
      <c r="CE1000" s="129"/>
      <c r="CF1000" s="129"/>
      <c r="CG1000" s="132"/>
      <c r="CH1000" s="129"/>
      <c r="CI1000" s="129"/>
      <c r="CJ1000" s="132"/>
      <c r="CK1000" s="129"/>
      <c r="CL1000" s="129"/>
      <c r="CM1000" s="132"/>
      <c r="CN1000" s="129"/>
      <c r="CO1000" s="129"/>
      <c r="CP1000" s="132"/>
      <c r="CQ1000" s="129"/>
      <c r="CR1000" s="129"/>
      <c r="CS1000" s="132"/>
      <c r="CT1000" s="129"/>
      <c r="CU1000" s="129"/>
      <c r="CV1000" s="132"/>
      <c r="CW1000" s="129"/>
      <c r="CX1000" s="129"/>
      <c r="CY1000" s="132"/>
      <c r="CZ1000" s="129"/>
      <c r="DA1000" s="129"/>
      <c r="DB1000" s="132"/>
      <c r="DC1000" s="129"/>
      <c r="DD1000" s="129"/>
      <c r="DE1000" s="132"/>
      <c r="DF1000" s="129"/>
      <c r="DG1000" s="129"/>
      <c r="DH1000" s="132"/>
      <c r="DI1000" s="129"/>
      <c r="DJ1000" s="129"/>
      <c r="DK1000" s="132"/>
      <c r="DL1000" s="129"/>
      <c r="DM1000" s="129"/>
      <c r="DN1000" s="132"/>
      <c r="DO1000" s="129"/>
      <c r="DP1000" s="129"/>
      <c r="DQ1000" s="132"/>
      <c r="DR1000" s="129"/>
      <c r="DS1000" s="129"/>
      <c r="DT1000" s="132"/>
      <c r="DU1000" s="129"/>
      <c r="DV1000" s="129"/>
      <c r="DW1000" s="132"/>
      <c r="DX1000" s="129"/>
      <c r="DY1000" s="129"/>
      <c r="DZ1000" s="132"/>
      <c r="EA1000" s="129"/>
      <c r="EB1000" s="129"/>
      <c r="EC1000" s="132"/>
      <c r="ED1000" s="129"/>
      <c r="EE1000" s="129"/>
      <c r="EF1000" s="132"/>
      <c r="EG1000" s="129"/>
      <c r="EH1000" s="129"/>
      <c r="EI1000" s="132"/>
      <c r="EJ1000" s="129"/>
      <c r="EK1000" s="129"/>
      <c r="EL1000" s="132"/>
      <c r="EM1000" s="129"/>
      <c r="EN1000" s="129"/>
      <c r="EO1000" s="132"/>
      <c r="EP1000" s="129"/>
      <c r="EQ1000" s="129"/>
      <c r="ER1000" s="132"/>
      <c r="ES1000" s="129"/>
      <c r="ET1000" s="129"/>
      <c r="EU1000" s="132"/>
      <c r="EV1000" s="129"/>
      <c r="EW1000" s="129"/>
      <c r="EX1000" s="132"/>
      <c r="EY1000" s="129"/>
      <c r="EZ1000" s="129"/>
      <c r="FA1000" s="132"/>
      <c r="FB1000" s="129"/>
      <c r="FC1000" s="129"/>
      <c r="FD1000" s="132"/>
      <c r="FE1000" s="129"/>
      <c r="FF1000" s="129"/>
      <c r="FG1000" s="132"/>
      <c r="FH1000" s="129"/>
      <c r="FI1000" s="129"/>
      <c r="FJ1000" s="132"/>
      <c r="FK1000" s="129"/>
      <c r="FL1000" s="129"/>
      <c r="FM1000" s="132"/>
      <c r="FN1000" s="129"/>
      <c r="FO1000" s="129"/>
      <c r="FP1000" s="132"/>
      <c r="FQ1000" s="129"/>
      <c r="FR1000" s="129"/>
      <c r="FS1000" s="132"/>
      <c r="FT1000" s="129"/>
      <c r="FU1000" s="129"/>
      <c r="FV1000" s="132"/>
      <c r="FW1000" s="129"/>
      <c r="FX1000" s="129"/>
      <c r="FY1000" s="132"/>
      <c r="FZ1000" s="129"/>
      <c r="GA1000" s="129"/>
      <c r="GB1000" s="132"/>
      <c r="GC1000" s="129"/>
      <c r="GD1000" s="129"/>
      <c r="GE1000" s="132"/>
      <c r="GF1000" s="129"/>
      <c r="GG1000" s="129"/>
      <c r="GH1000" s="132"/>
      <c r="GI1000" s="129"/>
      <c r="GJ1000" s="129"/>
      <c r="GK1000" s="132"/>
      <c r="GL1000" s="129"/>
      <c r="GM1000" s="129"/>
      <c r="GN1000" s="132"/>
      <c r="GO1000" s="129"/>
      <c r="GP1000" s="129"/>
      <c r="GQ1000" s="132"/>
      <c r="GR1000" s="129"/>
      <c r="GS1000" s="129"/>
      <c r="GT1000" s="132"/>
      <c r="GU1000" s="129"/>
      <c r="GV1000" s="129"/>
      <c r="GW1000" s="132"/>
      <c r="GX1000" s="129"/>
      <c r="GY1000" s="129"/>
      <c r="GZ1000" s="132"/>
      <c r="HA1000" s="129"/>
      <c r="HB1000" s="129"/>
      <c r="HC1000" s="132"/>
      <c r="HD1000" s="129"/>
      <c r="HE1000" s="129"/>
      <c r="HF1000" s="132"/>
      <c r="HG1000" s="129"/>
      <c r="HH1000" s="129"/>
      <c r="HI1000" s="132"/>
      <c r="HJ1000" s="129"/>
      <c r="HK1000" s="129"/>
      <c r="HL1000" s="132"/>
      <c r="HM1000" s="129"/>
      <c r="HN1000" s="129"/>
      <c r="HO1000" s="132"/>
      <c r="HP1000" s="129"/>
      <c r="HQ1000" s="129"/>
      <c r="HR1000" s="132"/>
      <c r="HS1000" s="129"/>
      <c r="HT1000" s="129"/>
      <c r="HU1000" s="132"/>
      <c r="HV1000" s="129"/>
      <c r="HW1000" s="129"/>
      <c r="HX1000" s="132"/>
      <c r="HY1000" s="129"/>
      <c r="HZ1000" s="129"/>
      <c r="IA1000" s="132"/>
      <c r="IB1000" s="129"/>
      <c r="IC1000" s="129"/>
      <c r="ID1000" s="132"/>
      <c r="IE1000" s="129"/>
      <c r="IF1000" s="129"/>
      <c r="IG1000" s="132"/>
      <c r="IH1000" s="129"/>
      <c r="II1000" s="129"/>
      <c r="IJ1000" s="132"/>
      <c r="IK1000" s="129"/>
      <c r="IL1000" s="129"/>
      <c r="IM1000" s="132"/>
      <c r="IN1000" s="129"/>
      <c r="IO1000" s="129"/>
      <c r="IP1000" s="132"/>
      <c r="IQ1000" s="129"/>
      <c r="IR1000" s="129"/>
      <c r="IS1000" s="132"/>
      <c r="IT1000" s="129"/>
      <c r="IU1000" s="129"/>
      <c r="IV1000" s="132"/>
    </row>
    <row r="1001" spans="1:256" ht="15.75">
      <c r="A1001" s="132"/>
      <c r="B1001" s="147"/>
      <c r="C1001" s="132"/>
      <c r="D1001" s="129"/>
      <c r="E1001" s="129"/>
      <c r="F1001" s="130"/>
      <c r="G1001" s="399"/>
      <c r="H1001" s="120"/>
      <c r="I1001" s="417"/>
      <c r="J1001" s="120"/>
      <c r="K1001" s="404"/>
      <c r="L1001" s="120">
        <f>J1001+K1001</f>
        <v>0</v>
      </c>
      <c r="M1001" s="120">
        <f t="shared" si="322"/>
        <v>0</v>
      </c>
      <c r="N1001" s="120">
        <f t="shared" si="318"/>
        <v>0</v>
      </c>
      <c r="O1001" s="404">
        <f>H1001*K1001</f>
        <v>0</v>
      </c>
      <c r="P1001" s="127">
        <f>H1001*L1001</f>
        <v>0</v>
      </c>
      <c r="Q1001" s="129"/>
      <c r="R1001" s="129"/>
      <c r="S1001" s="132"/>
      <c r="T1001" s="129"/>
      <c r="U1001" s="129"/>
      <c r="V1001" s="132"/>
      <c r="W1001" s="129"/>
      <c r="X1001" s="129"/>
      <c r="Y1001" s="132"/>
      <c r="Z1001" s="129"/>
      <c r="AA1001" s="129"/>
      <c r="AB1001" s="132"/>
      <c r="AC1001" s="129"/>
      <c r="AD1001" s="129"/>
      <c r="AE1001" s="132"/>
      <c r="AF1001" s="129"/>
      <c r="AG1001" s="129"/>
      <c r="AH1001" s="132"/>
      <c r="AI1001" s="129"/>
      <c r="AJ1001" s="129"/>
      <c r="AK1001" s="132"/>
      <c r="AL1001" s="129"/>
      <c r="AM1001" s="129"/>
      <c r="AN1001" s="132"/>
      <c r="AO1001" s="129"/>
      <c r="AP1001" s="129"/>
      <c r="AQ1001" s="132"/>
      <c r="AR1001" s="129"/>
      <c r="AS1001" s="129"/>
      <c r="AT1001" s="132"/>
      <c r="AU1001" s="129"/>
      <c r="AV1001" s="129"/>
      <c r="AW1001" s="132"/>
      <c r="AX1001" s="129"/>
      <c r="AY1001" s="129"/>
      <c r="AZ1001" s="132"/>
      <c r="BA1001" s="129"/>
      <c r="BB1001" s="129"/>
      <c r="BC1001" s="132"/>
      <c r="BD1001" s="129"/>
      <c r="BE1001" s="129"/>
      <c r="BF1001" s="132"/>
      <c r="BG1001" s="129"/>
      <c r="BH1001" s="129"/>
      <c r="BI1001" s="132"/>
      <c r="BJ1001" s="129"/>
      <c r="BK1001" s="129"/>
      <c r="BL1001" s="132"/>
      <c r="BM1001" s="129"/>
      <c r="BN1001" s="129"/>
      <c r="BO1001" s="132"/>
      <c r="BP1001" s="129"/>
      <c r="BQ1001" s="129"/>
      <c r="BR1001" s="132"/>
      <c r="BS1001" s="129"/>
      <c r="BT1001" s="129"/>
      <c r="BU1001" s="132"/>
      <c r="BV1001" s="129"/>
      <c r="BW1001" s="129"/>
      <c r="BX1001" s="132"/>
      <c r="BY1001" s="129"/>
      <c r="BZ1001" s="129"/>
      <c r="CA1001" s="132"/>
      <c r="CB1001" s="129"/>
      <c r="CC1001" s="129"/>
      <c r="CD1001" s="132"/>
      <c r="CE1001" s="129"/>
      <c r="CF1001" s="129"/>
      <c r="CG1001" s="132"/>
      <c r="CH1001" s="129"/>
      <c r="CI1001" s="129"/>
      <c r="CJ1001" s="132"/>
      <c r="CK1001" s="129"/>
      <c r="CL1001" s="129"/>
      <c r="CM1001" s="132"/>
      <c r="CN1001" s="129"/>
      <c r="CO1001" s="129"/>
      <c r="CP1001" s="132"/>
      <c r="CQ1001" s="129"/>
      <c r="CR1001" s="129"/>
      <c r="CS1001" s="132"/>
      <c r="CT1001" s="129"/>
      <c r="CU1001" s="129"/>
      <c r="CV1001" s="132"/>
      <c r="CW1001" s="129"/>
      <c r="CX1001" s="129"/>
      <c r="CY1001" s="132"/>
      <c r="CZ1001" s="129"/>
      <c r="DA1001" s="129"/>
      <c r="DB1001" s="132"/>
      <c r="DC1001" s="129"/>
      <c r="DD1001" s="129"/>
      <c r="DE1001" s="132"/>
      <c r="DF1001" s="129"/>
      <c r="DG1001" s="129"/>
      <c r="DH1001" s="132"/>
      <c r="DI1001" s="129"/>
      <c r="DJ1001" s="129"/>
      <c r="DK1001" s="132"/>
      <c r="DL1001" s="129"/>
      <c r="DM1001" s="129"/>
      <c r="DN1001" s="132"/>
      <c r="DO1001" s="129"/>
      <c r="DP1001" s="129"/>
      <c r="DQ1001" s="132"/>
      <c r="DR1001" s="129"/>
      <c r="DS1001" s="129"/>
      <c r="DT1001" s="132"/>
      <c r="DU1001" s="129"/>
      <c r="DV1001" s="129"/>
      <c r="DW1001" s="132"/>
      <c r="DX1001" s="129"/>
      <c r="DY1001" s="129"/>
      <c r="DZ1001" s="132"/>
      <c r="EA1001" s="129"/>
      <c r="EB1001" s="129"/>
      <c r="EC1001" s="132"/>
      <c r="ED1001" s="129"/>
      <c r="EE1001" s="129"/>
      <c r="EF1001" s="132"/>
      <c r="EG1001" s="129"/>
      <c r="EH1001" s="129"/>
      <c r="EI1001" s="132"/>
      <c r="EJ1001" s="129"/>
      <c r="EK1001" s="129"/>
      <c r="EL1001" s="132"/>
      <c r="EM1001" s="129"/>
      <c r="EN1001" s="129"/>
      <c r="EO1001" s="132"/>
      <c r="EP1001" s="129"/>
      <c r="EQ1001" s="129"/>
      <c r="ER1001" s="132"/>
      <c r="ES1001" s="129"/>
      <c r="ET1001" s="129"/>
      <c r="EU1001" s="132"/>
      <c r="EV1001" s="129"/>
      <c r="EW1001" s="129"/>
      <c r="EX1001" s="132"/>
      <c r="EY1001" s="129"/>
      <c r="EZ1001" s="129"/>
      <c r="FA1001" s="132"/>
      <c r="FB1001" s="129"/>
      <c r="FC1001" s="129"/>
      <c r="FD1001" s="132"/>
      <c r="FE1001" s="129"/>
      <c r="FF1001" s="129"/>
      <c r="FG1001" s="132"/>
      <c r="FH1001" s="129"/>
      <c r="FI1001" s="129"/>
      <c r="FJ1001" s="132"/>
      <c r="FK1001" s="129"/>
      <c r="FL1001" s="129"/>
      <c r="FM1001" s="132"/>
      <c r="FN1001" s="129"/>
      <c r="FO1001" s="129"/>
      <c r="FP1001" s="132"/>
      <c r="FQ1001" s="129"/>
      <c r="FR1001" s="129"/>
      <c r="FS1001" s="132"/>
      <c r="FT1001" s="129"/>
      <c r="FU1001" s="129"/>
      <c r="FV1001" s="132"/>
      <c r="FW1001" s="129"/>
      <c r="FX1001" s="129"/>
      <c r="FY1001" s="132"/>
      <c r="FZ1001" s="129"/>
      <c r="GA1001" s="129"/>
      <c r="GB1001" s="132"/>
      <c r="GC1001" s="129"/>
      <c r="GD1001" s="129"/>
      <c r="GE1001" s="132"/>
      <c r="GF1001" s="129"/>
      <c r="GG1001" s="129"/>
      <c r="GH1001" s="132"/>
      <c r="GI1001" s="129"/>
      <c r="GJ1001" s="129"/>
      <c r="GK1001" s="132"/>
      <c r="GL1001" s="129"/>
      <c r="GM1001" s="129"/>
      <c r="GN1001" s="132"/>
      <c r="GO1001" s="129"/>
      <c r="GP1001" s="129"/>
      <c r="GQ1001" s="132"/>
      <c r="GR1001" s="129"/>
      <c r="GS1001" s="129"/>
      <c r="GT1001" s="132"/>
      <c r="GU1001" s="129"/>
      <c r="GV1001" s="129"/>
      <c r="GW1001" s="132"/>
      <c r="GX1001" s="129"/>
      <c r="GY1001" s="129"/>
      <c r="GZ1001" s="132"/>
      <c r="HA1001" s="129"/>
      <c r="HB1001" s="129"/>
      <c r="HC1001" s="132"/>
      <c r="HD1001" s="129"/>
      <c r="HE1001" s="129"/>
      <c r="HF1001" s="132"/>
      <c r="HG1001" s="129"/>
      <c r="HH1001" s="129"/>
      <c r="HI1001" s="132"/>
      <c r="HJ1001" s="129"/>
      <c r="HK1001" s="129"/>
      <c r="HL1001" s="132"/>
      <c r="HM1001" s="129"/>
      <c r="HN1001" s="129"/>
      <c r="HO1001" s="132"/>
      <c r="HP1001" s="129"/>
      <c r="HQ1001" s="129"/>
      <c r="HR1001" s="132"/>
      <c r="HS1001" s="129"/>
      <c r="HT1001" s="129"/>
      <c r="HU1001" s="132"/>
      <c r="HV1001" s="129"/>
      <c r="HW1001" s="129"/>
      <c r="HX1001" s="132"/>
      <c r="HY1001" s="129"/>
      <c r="HZ1001" s="129"/>
      <c r="IA1001" s="132"/>
      <c r="IB1001" s="129"/>
      <c r="IC1001" s="129"/>
      <c r="ID1001" s="132"/>
      <c r="IE1001" s="129"/>
      <c r="IF1001" s="129"/>
      <c r="IG1001" s="132"/>
      <c r="IH1001" s="129"/>
      <c r="II1001" s="129"/>
      <c r="IJ1001" s="132"/>
      <c r="IK1001" s="129"/>
      <c r="IL1001" s="129"/>
      <c r="IM1001" s="132"/>
      <c r="IN1001" s="129"/>
      <c r="IO1001" s="129"/>
      <c r="IP1001" s="132"/>
      <c r="IQ1001" s="129"/>
      <c r="IR1001" s="129"/>
      <c r="IS1001" s="132"/>
      <c r="IT1001" s="129"/>
      <c r="IU1001" s="129"/>
      <c r="IV1001" s="132"/>
    </row>
    <row r="1002" spans="1:256" ht="15.75">
      <c r="A1002" s="156"/>
      <c r="B1002" s="118" t="s">
        <v>805</v>
      </c>
      <c r="C1002" s="132" t="s">
        <v>804</v>
      </c>
      <c r="D1002" s="129"/>
      <c r="E1002" s="129"/>
      <c r="F1002" s="130"/>
      <c r="G1002" s="399" t="s">
        <v>663</v>
      </c>
      <c r="H1002" s="120">
        <v>161.86000000000001</v>
      </c>
      <c r="I1002" s="417">
        <v>40.5</v>
      </c>
      <c r="J1002" s="120">
        <v>39.6</v>
      </c>
      <c r="K1002" s="404"/>
      <c r="L1002" s="120">
        <f>J1002+K1002</f>
        <v>39.6</v>
      </c>
      <c r="M1002" s="120">
        <f t="shared" si="322"/>
        <v>6555.3300000000008</v>
      </c>
      <c r="N1002" s="120">
        <f t="shared" si="318"/>
        <v>6409.6560000000009</v>
      </c>
      <c r="O1002" s="404">
        <f>H1002*K1002</f>
        <v>0</v>
      </c>
      <c r="P1002" s="127">
        <f>H1002*L1002</f>
        <v>6409.6560000000009</v>
      </c>
      <c r="Q1002" s="159"/>
      <c r="R1002" s="159"/>
      <c r="S1002" s="156"/>
      <c r="T1002" s="159"/>
      <c r="U1002" s="159"/>
      <c r="V1002" s="156"/>
      <c r="W1002" s="159"/>
      <c r="X1002" s="159"/>
      <c r="Y1002" s="156"/>
      <c r="Z1002" s="159"/>
      <c r="AA1002" s="159"/>
      <c r="AB1002" s="156"/>
      <c r="AC1002" s="159"/>
      <c r="AD1002" s="159"/>
      <c r="AE1002" s="156"/>
      <c r="AF1002" s="159"/>
      <c r="AG1002" s="159"/>
      <c r="AH1002" s="156"/>
      <c r="AI1002" s="159"/>
      <c r="AJ1002" s="159"/>
      <c r="AK1002" s="156"/>
      <c r="AL1002" s="159"/>
      <c r="AM1002" s="159"/>
      <c r="AN1002" s="156"/>
      <c r="AO1002" s="159"/>
      <c r="AP1002" s="159"/>
      <c r="AQ1002" s="156"/>
      <c r="AR1002" s="159"/>
      <c r="AS1002" s="159"/>
      <c r="AT1002" s="156"/>
      <c r="AU1002" s="159"/>
      <c r="AV1002" s="159"/>
      <c r="AW1002" s="156"/>
      <c r="AX1002" s="159"/>
      <c r="AY1002" s="159"/>
      <c r="AZ1002" s="156"/>
      <c r="BA1002" s="159"/>
      <c r="BB1002" s="159"/>
      <c r="BC1002" s="156"/>
      <c r="BD1002" s="159"/>
      <c r="BE1002" s="159"/>
      <c r="BF1002" s="156"/>
      <c r="BG1002" s="159"/>
      <c r="BH1002" s="159"/>
      <c r="BI1002" s="156"/>
      <c r="BJ1002" s="159"/>
      <c r="BK1002" s="159"/>
      <c r="BL1002" s="156"/>
      <c r="BM1002" s="159"/>
      <c r="BN1002" s="159"/>
      <c r="BO1002" s="156"/>
      <c r="BP1002" s="159"/>
      <c r="BQ1002" s="159"/>
      <c r="BR1002" s="156"/>
      <c r="BS1002" s="159"/>
      <c r="BT1002" s="159"/>
      <c r="BU1002" s="156"/>
      <c r="BV1002" s="159"/>
      <c r="BW1002" s="159"/>
      <c r="BX1002" s="156"/>
      <c r="BY1002" s="159"/>
      <c r="BZ1002" s="159"/>
      <c r="CA1002" s="156"/>
      <c r="CB1002" s="159"/>
      <c r="CC1002" s="159"/>
      <c r="CD1002" s="156"/>
      <c r="CE1002" s="159"/>
      <c r="CF1002" s="159"/>
      <c r="CG1002" s="156"/>
      <c r="CH1002" s="159"/>
      <c r="CI1002" s="159"/>
      <c r="CJ1002" s="156"/>
      <c r="CK1002" s="159"/>
      <c r="CL1002" s="159"/>
      <c r="CM1002" s="156"/>
      <c r="CN1002" s="159"/>
      <c r="CO1002" s="159"/>
      <c r="CP1002" s="156"/>
      <c r="CQ1002" s="159"/>
      <c r="CR1002" s="159"/>
      <c r="CS1002" s="156"/>
      <c r="CT1002" s="159"/>
      <c r="CU1002" s="159"/>
      <c r="CV1002" s="156"/>
      <c r="CW1002" s="159"/>
      <c r="CX1002" s="159"/>
      <c r="CY1002" s="156"/>
      <c r="CZ1002" s="159"/>
      <c r="DA1002" s="159"/>
      <c r="DB1002" s="156"/>
      <c r="DC1002" s="159"/>
      <c r="DD1002" s="159"/>
      <c r="DE1002" s="156"/>
      <c r="DF1002" s="159"/>
      <c r="DG1002" s="159"/>
      <c r="DH1002" s="156"/>
      <c r="DI1002" s="159"/>
      <c r="DJ1002" s="159"/>
      <c r="DK1002" s="156"/>
      <c r="DL1002" s="159"/>
      <c r="DM1002" s="159"/>
      <c r="DN1002" s="156"/>
      <c r="DO1002" s="159"/>
      <c r="DP1002" s="159"/>
      <c r="DQ1002" s="156"/>
      <c r="DR1002" s="159"/>
      <c r="DS1002" s="159"/>
      <c r="DT1002" s="156"/>
      <c r="DU1002" s="159"/>
      <c r="DV1002" s="159"/>
      <c r="DW1002" s="156"/>
      <c r="DX1002" s="159"/>
      <c r="DY1002" s="159"/>
      <c r="DZ1002" s="156"/>
      <c r="EA1002" s="159"/>
      <c r="EB1002" s="159"/>
      <c r="EC1002" s="156"/>
      <c r="ED1002" s="159"/>
      <c r="EE1002" s="159"/>
      <c r="EF1002" s="156"/>
      <c r="EG1002" s="159"/>
      <c r="EH1002" s="159"/>
      <c r="EI1002" s="156"/>
      <c r="EJ1002" s="159"/>
      <c r="EK1002" s="159"/>
      <c r="EL1002" s="156"/>
      <c r="EM1002" s="159"/>
      <c r="EN1002" s="159"/>
      <c r="EO1002" s="156"/>
      <c r="EP1002" s="159"/>
      <c r="EQ1002" s="159"/>
      <c r="ER1002" s="156"/>
      <c r="ES1002" s="159"/>
      <c r="ET1002" s="159"/>
      <c r="EU1002" s="156"/>
      <c r="EV1002" s="159"/>
      <c r="EW1002" s="159"/>
      <c r="EX1002" s="156"/>
      <c r="EY1002" s="159"/>
      <c r="EZ1002" s="159"/>
      <c r="FA1002" s="156"/>
      <c r="FB1002" s="159"/>
      <c r="FC1002" s="159"/>
      <c r="FD1002" s="156"/>
      <c r="FE1002" s="159"/>
      <c r="FF1002" s="159"/>
      <c r="FG1002" s="156"/>
      <c r="FH1002" s="159"/>
      <c r="FI1002" s="159"/>
      <c r="FJ1002" s="156"/>
      <c r="FK1002" s="159"/>
      <c r="FL1002" s="159"/>
      <c r="FM1002" s="156"/>
      <c r="FN1002" s="159"/>
      <c r="FO1002" s="159"/>
      <c r="FP1002" s="156"/>
      <c r="FQ1002" s="159"/>
      <c r="FR1002" s="159"/>
      <c r="FS1002" s="156"/>
      <c r="FT1002" s="159"/>
      <c r="FU1002" s="159"/>
      <c r="FV1002" s="156"/>
      <c r="FW1002" s="159"/>
      <c r="FX1002" s="159"/>
      <c r="FY1002" s="156"/>
      <c r="FZ1002" s="159"/>
      <c r="GA1002" s="159"/>
      <c r="GB1002" s="156"/>
      <c r="GC1002" s="159"/>
      <c r="GD1002" s="159"/>
      <c r="GE1002" s="156"/>
      <c r="GF1002" s="159"/>
      <c r="GG1002" s="159"/>
      <c r="GH1002" s="156"/>
      <c r="GI1002" s="159"/>
      <c r="GJ1002" s="159"/>
      <c r="GK1002" s="156"/>
      <c r="GL1002" s="159"/>
      <c r="GM1002" s="159"/>
      <c r="GN1002" s="156"/>
      <c r="GO1002" s="159"/>
      <c r="GP1002" s="159"/>
      <c r="GQ1002" s="156"/>
      <c r="GR1002" s="159"/>
      <c r="GS1002" s="159"/>
      <c r="GT1002" s="156"/>
      <c r="GU1002" s="159"/>
      <c r="GV1002" s="159"/>
      <c r="GW1002" s="156"/>
      <c r="GX1002" s="159"/>
      <c r="GY1002" s="159"/>
      <c r="GZ1002" s="156"/>
      <c r="HA1002" s="159"/>
      <c r="HB1002" s="159"/>
      <c r="HC1002" s="156"/>
      <c r="HD1002" s="159"/>
      <c r="HE1002" s="159"/>
      <c r="HF1002" s="156"/>
      <c r="HG1002" s="159"/>
      <c r="HH1002" s="159"/>
      <c r="HI1002" s="156"/>
      <c r="HJ1002" s="159"/>
      <c r="HK1002" s="159"/>
      <c r="HL1002" s="156"/>
      <c r="HM1002" s="159"/>
      <c r="HN1002" s="159"/>
      <c r="HO1002" s="156"/>
      <c r="HP1002" s="159"/>
      <c r="HQ1002" s="159"/>
      <c r="HR1002" s="156"/>
      <c r="HS1002" s="159"/>
      <c r="HT1002" s="159"/>
      <c r="HU1002" s="156"/>
      <c r="HV1002" s="159"/>
      <c r="HW1002" s="159"/>
      <c r="HX1002" s="156"/>
      <c r="HY1002" s="159"/>
      <c r="HZ1002" s="159"/>
      <c r="IA1002" s="156"/>
      <c r="IB1002" s="159"/>
      <c r="IC1002" s="159"/>
      <c r="ID1002" s="156"/>
      <c r="IE1002" s="159"/>
      <c r="IF1002" s="159"/>
      <c r="IG1002" s="156"/>
      <c r="IH1002" s="159"/>
      <c r="II1002" s="159"/>
      <c r="IJ1002" s="156"/>
      <c r="IK1002" s="159"/>
      <c r="IL1002" s="159"/>
      <c r="IM1002" s="156"/>
      <c r="IN1002" s="159"/>
      <c r="IO1002" s="159"/>
      <c r="IP1002" s="156"/>
      <c r="IQ1002" s="159"/>
      <c r="IR1002" s="159"/>
      <c r="IS1002" s="156"/>
      <c r="IT1002" s="159"/>
      <c r="IU1002" s="159"/>
      <c r="IV1002" s="156"/>
    </row>
    <row r="1003" spans="1:256" ht="15.75">
      <c r="A1003" s="132"/>
      <c r="B1003" s="118"/>
      <c r="C1003" s="132"/>
      <c r="D1003" s="129"/>
      <c r="E1003" s="129"/>
      <c r="F1003" s="130"/>
      <c r="G1003" s="399"/>
      <c r="H1003" s="120"/>
      <c r="I1003" s="417"/>
      <c r="J1003" s="120"/>
      <c r="K1003" s="404"/>
      <c r="L1003" s="120">
        <f>J1003+K1003</f>
        <v>0</v>
      </c>
      <c r="M1003" s="120">
        <f t="shared" si="322"/>
        <v>0</v>
      </c>
      <c r="N1003" s="120">
        <f t="shared" si="318"/>
        <v>0</v>
      </c>
      <c r="O1003" s="404">
        <f>H1003*K1003</f>
        <v>0</v>
      </c>
      <c r="P1003" s="127">
        <f>H1003*L1003</f>
        <v>0</v>
      </c>
      <c r="Q1003" s="129"/>
      <c r="R1003" s="129"/>
      <c r="S1003" s="132"/>
      <c r="T1003" s="129"/>
      <c r="U1003" s="129"/>
      <c r="V1003" s="132"/>
      <c r="W1003" s="129"/>
      <c r="X1003" s="129"/>
      <c r="Y1003" s="132"/>
      <c r="Z1003" s="129"/>
      <c r="AA1003" s="129"/>
      <c r="AB1003" s="132"/>
      <c r="AC1003" s="129"/>
      <c r="AD1003" s="129"/>
      <c r="AE1003" s="132"/>
      <c r="AF1003" s="129"/>
      <c r="AG1003" s="129"/>
      <c r="AH1003" s="132"/>
      <c r="AI1003" s="129"/>
      <c r="AJ1003" s="129"/>
      <c r="AK1003" s="132"/>
      <c r="AL1003" s="129"/>
      <c r="AM1003" s="129"/>
      <c r="AN1003" s="132"/>
      <c r="AO1003" s="129"/>
      <c r="AP1003" s="129"/>
      <c r="AQ1003" s="132"/>
      <c r="AR1003" s="129"/>
      <c r="AS1003" s="129"/>
      <c r="AT1003" s="132"/>
      <c r="AU1003" s="129"/>
      <c r="AV1003" s="129"/>
      <c r="AW1003" s="132"/>
      <c r="AX1003" s="129"/>
      <c r="AY1003" s="129"/>
      <c r="AZ1003" s="132"/>
      <c r="BA1003" s="129"/>
      <c r="BB1003" s="129"/>
      <c r="BC1003" s="132"/>
      <c r="BD1003" s="129"/>
      <c r="BE1003" s="129"/>
      <c r="BF1003" s="132"/>
      <c r="BG1003" s="129"/>
      <c r="BH1003" s="129"/>
      <c r="BI1003" s="132"/>
      <c r="BJ1003" s="129"/>
      <c r="BK1003" s="129"/>
      <c r="BL1003" s="132"/>
      <c r="BM1003" s="129"/>
      <c r="BN1003" s="129"/>
      <c r="BO1003" s="132"/>
      <c r="BP1003" s="129"/>
      <c r="BQ1003" s="129"/>
      <c r="BR1003" s="132"/>
      <c r="BS1003" s="129"/>
      <c r="BT1003" s="129"/>
      <c r="BU1003" s="132"/>
      <c r="BV1003" s="129"/>
      <c r="BW1003" s="129"/>
      <c r="BX1003" s="132"/>
      <c r="BY1003" s="129"/>
      <c r="BZ1003" s="129"/>
      <c r="CA1003" s="132"/>
      <c r="CB1003" s="129"/>
      <c r="CC1003" s="129"/>
      <c r="CD1003" s="132"/>
      <c r="CE1003" s="129"/>
      <c r="CF1003" s="129"/>
      <c r="CG1003" s="132"/>
      <c r="CH1003" s="129"/>
      <c r="CI1003" s="129"/>
      <c r="CJ1003" s="132"/>
      <c r="CK1003" s="129"/>
      <c r="CL1003" s="129"/>
      <c r="CM1003" s="132"/>
      <c r="CN1003" s="129"/>
      <c r="CO1003" s="129"/>
      <c r="CP1003" s="132"/>
      <c r="CQ1003" s="129"/>
      <c r="CR1003" s="129"/>
      <c r="CS1003" s="132"/>
      <c r="CT1003" s="129"/>
      <c r="CU1003" s="129"/>
      <c r="CV1003" s="132"/>
      <c r="CW1003" s="129"/>
      <c r="CX1003" s="129"/>
      <c r="CY1003" s="132"/>
      <c r="CZ1003" s="129"/>
      <c r="DA1003" s="129"/>
      <c r="DB1003" s="132"/>
      <c r="DC1003" s="129"/>
      <c r="DD1003" s="129"/>
      <c r="DE1003" s="132"/>
      <c r="DF1003" s="129"/>
      <c r="DG1003" s="129"/>
      <c r="DH1003" s="132"/>
      <c r="DI1003" s="129"/>
      <c r="DJ1003" s="129"/>
      <c r="DK1003" s="132"/>
      <c r="DL1003" s="129"/>
      <c r="DM1003" s="129"/>
      <c r="DN1003" s="132"/>
      <c r="DO1003" s="129"/>
      <c r="DP1003" s="129"/>
      <c r="DQ1003" s="132"/>
      <c r="DR1003" s="129"/>
      <c r="DS1003" s="129"/>
      <c r="DT1003" s="132"/>
      <c r="DU1003" s="129"/>
      <c r="DV1003" s="129"/>
      <c r="DW1003" s="132"/>
      <c r="DX1003" s="129"/>
      <c r="DY1003" s="129"/>
      <c r="DZ1003" s="132"/>
      <c r="EA1003" s="129"/>
      <c r="EB1003" s="129"/>
      <c r="EC1003" s="132"/>
      <c r="ED1003" s="129"/>
      <c r="EE1003" s="129"/>
      <c r="EF1003" s="132"/>
      <c r="EG1003" s="129"/>
      <c r="EH1003" s="129"/>
      <c r="EI1003" s="132"/>
      <c r="EJ1003" s="129"/>
      <c r="EK1003" s="129"/>
      <c r="EL1003" s="132"/>
      <c r="EM1003" s="129"/>
      <c r="EN1003" s="129"/>
      <c r="EO1003" s="132"/>
      <c r="EP1003" s="129"/>
      <c r="EQ1003" s="129"/>
      <c r="ER1003" s="132"/>
      <c r="ES1003" s="129"/>
      <c r="ET1003" s="129"/>
      <c r="EU1003" s="132"/>
      <c r="EV1003" s="129"/>
      <c r="EW1003" s="129"/>
      <c r="EX1003" s="132"/>
      <c r="EY1003" s="129"/>
      <c r="EZ1003" s="129"/>
      <c r="FA1003" s="132"/>
      <c r="FB1003" s="129"/>
      <c r="FC1003" s="129"/>
      <c r="FD1003" s="132"/>
      <c r="FE1003" s="129"/>
      <c r="FF1003" s="129"/>
      <c r="FG1003" s="132"/>
      <c r="FH1003" s="129"/>
      <c r="FI1003" s="129"/>
      <c r="FJ1003" s="132"/>
      <c r="FK1003" s="129"/>
      <c r="FL1003" s="129"/>
      <c r="FM1003" s="132"/>
      <c r="FN1003" s="129"/>
      <c r="FO1003" s="129"/>
      <c r="FP1003" s="132"/>
      <c r="FQ1003" s="129"/>
      <c r="FR1003" s="129"/>
      <c r="FS1003" s="132"/>
      <c r="FT1003" s="129"/>
      <c r="FU1003" s="129"/>
      <c r="FV1003" s="132"/>
      <c r="FW1003" s="129"/>
      <c r="FX1003" s="129"/>
      <c r="FY1003" s="132"/>
      <c r="FZ1003" s="129"/>
      <c r="GA1003" s="129"/>
      <c r="GB1003" s="132"/>
      <c r="GC1003" s="129"/>
      <c r="GD1003" s="129"/>
      <c r="GE1003" s="132"/>
      <c r="GF1003" s="129"/>
      <c r="GG1003" s="129"/>
      <c r="GH1003" s="132"/>
      <c r="GI1003" s="129"/>
      <c r="GJ1003" s="129"/>
      <c r="GK1003" s="132"/>
      <c r="GL1003" s="129"/>
      <c r="GM1003" s="129"/>
      <c r="GN1003" s="132"/>
      <c r="GO1003" s="129"/>
      <c r="GP1003" s="129"/>
      <c r="GQ1003" s="132"/>
      <c r="GR1003" s="129"/>
      <c r="GS1003" s="129"/>
      <c r="GT1003" s="132"/>
      <c r="GU1003" s="129"/>
      <c r="GV1003" s="129"/>
      <c r="GW1003" s="132"/>
      <c r="GX1003" s="129"/>
      <c r="GY1003" s="129"/>
      <c r="GZ1003" s="132"/>
      <c r="HA1003" s="129"/>
      <c r="HB1003" s="129"/>
      <c r="HC1003" s="132"/>
      <c r="HD1003" s="129"/>
      <c r="HE1003" s="129"/>
      <c r="HF1003" s="132"/>
      <c r="HG1003" s="129"/>
      <c r="HH1003" s="129"/>
      <c r="HI1003" s="132"/>
      <c r="HJ1003" s="129"/>
      <c r="HK1003" s="129"/>
      <c r="HL1003" s="132"/>
      <c r="HM1003" s="129"/>
      <c r="HN1003" s="129"/>
      <c r="HO1003" s="132"/>
      <c r="HP1003" s="129"/>
      <c r="HQ1003" s="129"/>
      <c r="HR1003" s="132"/>
      <c r="HS1003" s="129"/>
      <c r="HT1003" s="129"/>
      <c r="HU1003" s="132"/>
      <c r="HV1003" s="129"/>
      <c r="HW1003" s="129"/>
      <c r="HX1003" s="132"/>
      <c r="HY1003" s="129"/>
      <c r="HZ1003" s="129"/>
      <c r="IA1003" s="132"/>
      <c r="IB1003" s="129"/>
      <c r="IC1003" s="129"/>
      <c r="ID1003" s="132"/>
      <c r="IE1003" s="129"/>
      <c r="IF1003" s="129"/>
      <c r="IG1003" s="132"/>
      <c r="IH1003" s="129"/>
      <c r="II1003" s="129"/>
      <c r="IJ1003" s="132"/>
      <c r="IK1003" s="129"/>
      <c r="IL1003" s="129"/>
      <c r="IM1003" s="132"/>
      <c r="IN1003" s="129"/>
      <c r="IO1003" s="129"/>
      <c r="IP1003" s="132"/>
      <c r="IQ1003" s="129"/>
      <c r="IR1003" s="129"/>
      <c r="IS1003" s="132"/>
      <c r="IT1003" s="129"/>
      <c r="IU1003" s="129"/>
      <c r="IV1003" s="132"/>
    </row>
    <row r="1004" spans="1:256" ht="15.75">
      <c r="A1004" s="132"/>
      <c r="B1004" s="118"/>
      <c r="C1004" s="132"/>
      <c r="D1004" s="129"/>
      <c r="E1004" s="129"/>
      <c r="F1004" s="130"/>
      <c r="G1004" s="399"/>
      <c r="H1004" s="120"/>
      <c r="I1004" s="417"/>
      <c r="J1004" s="120"/>
      <c r="K1004" s="404"/>
      <c r="L1004" s="120"/>
      <c r="M1004" s="120"/>
      <c r="N1004" s="120">
        <f t="shared" si="318"/>
        <v>0</v>
      </c>
      <c r="O1004" s="404"/>
      <c r="P1004" s="127"/>
      <c r="Q1004" s="129"/>
      <c r="R1004" s="129"/>
      <c r="S1004" s="132"/>
      <c r="T1004" s="129"/>
      <c r="U1004" s="129"/>
      <c r="V1004" s="132"/>
      <c r="W1004" s="129"/>
      <c r="X1004" s="129"/>
      <c r="Y1004" s="132"/>
      <c r="Z1004" s="129"/>
      <c r="AA1004" s="129"/>
      <c r="AB1004" s="132"/>
      <c r="AC1004" s="129"/>
      <c r="AD1004" s="129"/>
      <c r="AE1004" s="132"/>
      <c r="AF1004" s="129"/>
      <c r="AG1004" s="129"/>
      <c r="AH1004" s="132"/>
      <c r="AI1004" s="129"/>
      <c r="AJ1004" s="129"/>
      <c r="AK1004" s="132"/>
      <c r="AL1004" s="129"/>
      <c r="AM1004" s="129"/>
      <c r="AN1004" s="132"/>
      <c r="AO1004" s="129"/>
      <c r="AP1004" s="129"/>
      <c r="AQ1004" s="132"/>
      <c r="AR1004" s="129"/>
      <c r="AS1004" s="129"/>
      <c r="AT1004" s="132"/>
      <c r="AU1004" s="129"/>
      <c r="AV1004" s="129"/>
      <c r="AW1004" s="132"/>
      <c r="AX1004" s="129"/>
      <c r="AY1004" s="129"/>
      <c r="AZ1004" s="132"/>
      <c r="BA1004" s="129"/>
      <c r="BB1004" s="129"/>
      <c r="BC1004" s="132"/>
      <c r="BD1004" s="129"/>
      <c r="BE1004" s="129"/>
      <c r="BF1004" s="132"/>
      <c r="BG1004" s="129"/>
      <c r="BH1004" s="129"/>
      <c r="BI1004" s="132"/>
      <c r="BJ1004" s="129"/>
      <c r="BK1004" s="129"/>
      <c r="BL1004" s="132"/>
      <c r="BM1004" s="129"/>
      <c r="BN1004" s="129"/>
      <c r="BO1004" s="132"/>
      <c r="BP1004" s="129"/>
      <c r="BQ1004" s="129"/>
      <c r="BR1004" s="132"/>
      <c r="BS1004" s="129"/>
      <c r="BT1004" s="129"/>
      <c r="BU1004" s="132"/>
      <c r="BV1004" s="129"/>
      <c r="BW1004" s="129"/>
      <c r="BX1004" s="132"/>
      <c r="BY1004" s="129"/>
      <c r="BZ1004" s="129"/>
      <c r="CA1004" s="132"/>
      <c r="CB1004" s="129"/>
      <c r="CC1004" s="129"/>
      <c r="CD1004" s="132"/>
      <c r="CE1004" s="129"/>
      <c r="CF1004" s="129"/>
      <c r="CG1004" s="132"/>
      <c r="CH1004" s="129"/>
      <c r="CI1004" s="129"/>
      <c r="CJ1004" s="132"/>
      <c r="CK1004" s="129"/>
      <c r="CL1004" s="129"/>
      <c r="CM1004" s="132"/>
      <c r="CN1004" s="129"/>
      <c r="CO1004" s="129"/>
      <c r="CP1004" s="132"/>
      <c r="CQ1004" s="129"/>
      <c r="CR1004" s="129"/>
      <c r="CS1004" s="132"/>
      <c r="CT1004" s="129"/>
      <c r="CU1004" s="129"/>
      <c r="CV1004" s="132"/>
      <c r="CW1004" s="129"/>
      <c r="CX1004" s="129"/>
      <c r="CY1004" s="132"/>
      <c r="CZ1004" s="129"/>
      <c r="DA1004" s="129"/>
      <c r="DB1004" s="132"/>
      <c r="DC1004" s="129"/>
      <c r="DD1004" s="129"/>
      <c r="DE1004" s="132"/>
      <c r="DF1004" s="129"/>
      <c r="DG1004" s="129"/>
      <c r="DH1004" s="132"/>
      <c r="DI1004" s="129"/>
      <c r="DJ1004" s="129"/>
      <c r="DK1004" s="132"/>
      <c r="DL1004" s="129"/>
      <c r="DM1004" s="129"/>
      <c r="DN1004" s="132"/>
      <c r="DO1004" s="129"/>
      <c r="DP1004" s="129"/>
      <c r="DQ1004" s="132"/>
      <c r="DR1004" s="129"/>
      <c r="DS1004" s="129"/>
      <c r="DT1004" s="132"/>
      <c r="DU1004" s="129"/>
      <c r="DV1004" s="129"/>
      <c r="DW1004" s="132"/>
      <c r="DX1004" s="129"/>
      <c r="DY1004" s="129"/>
      <c r="DZ1004" s="132"/>
      <c r="EA1004" s="129"/>
      <c r="EB1004" s="129"/>
      <c r="EC1004" s="132"/>
      <c r="ED1004" s="129"/>
      <c r="EE1004" s="129"/>
      <c r="EF1004" s="132"/>
      <c r="EG1004" s="129"/>
      <c r="EH1004" s="129"/>
      <c r="EI1004" s="132"/>
      <c r="EJ1004" s="129"/>
      <c r="EK1004" s="129"/>
      <c r="EL1004" s="132"/>
      <c r="EM1004" s="129"/>
      <c r="EN1004" s="129"/>
      <c r="EO1004" s="132"/>
      <c r="EP1004" s="129"/>
      <c r="EQ1004" s="129"/>
      <c r="ER1004" s="132"/>
      <c r="ES1004" s="129"/>
      <c r="ET1004" s="129"/>
      <c r="EU1004" s="132"/>
      <c r="EV1004" s="129"/>
      <c r="EW1004" s="129"/>
      <c r="EX1004" s="132"/>
      <c r="EY1004" s="129"/>
      <c r="EZ1004" s="129"/>
      <c r="FA1004" s="132"/>
      <c r="FB1004" s="129"/>
      <c r="FC1004" s="129"/>
      <c r="FD1004" s="132"/>
      <c r="FE1004" s="129"/>
      <c r="FF1004" s="129"/>
      <c r="FG1004" s="132"/>
      <c r="FH1004" s="129"/>
      <c r="FI1004" s="129"/>
      <c r="FJ1004" s="132"/>
      <c r="FK1004" s="129"/>
      <c r="FL1004" s="129"/>
      <c r="FM1004" s="132"/>
      <c r="FN1004" s="129"/>
      <c r="FO1004" s="129"/>
      <c r="FP1004" s="132"/>
      <c r="FQ1004" s="129"/>
      <c r="FR1004" s="129"/>
      <c r="FS1004" s="132"/>
      <c r="FT1004" s="129"/>
      <c r="FU1004" s="129"/>
      <c r="FV1004" s="132"/>
      <c r="FW1004" s="129"/>
      <c r="FX1004" s="129"/>
      <c r="FY1004" s="132"/>
      <c r="FZ1004" s="129"/>
      <c r="GA1004" s="129"/>
      <c r="GB1004" s="132"/>
      <c r="GC1004" s="129"/>
      <c r="GD1004" s="129"/>
      <c r="GE1004" s="132"/>
      <c r="GF1004" s="129"/>
      <c r="GG1004" s="129"/>
      <c r="GH1004" s="132"/>
      <c r="GI1004" s="129"/>
      <c r="GJ1004" s="129"/>
      <c r="GK1004" s="132"/>
      <c r="GL1004" s="129"/>
      <c r="GM1004" s="129"/>
      <c r="GN1004" s="132"/>
      <c r="GO1004" s="129"/>
      <c r="GP1004" s="129"/>
      <c r="GQ1004" s="132"/>
      <c r="GR1004" s="129"/>
      <c r="GS1004" s="129"/>
      <c r="GT1004" s="132"/>
      <c r="GU1004" s="129"/>
      <c r="GV1004" s="129"/>
      <c r="GW1004" s="132"/>
      <c r="GX1004" s="129"/>
      <c r="GY1004" s="129"/>
      <c r="GZ1004" s="132"/>
      <c r="HA1004" s="129"/>
      <c r="HB1004" s="129"/>
      <c r="HC1004" s="132"/>
      <c r="HD1004" s="129"/>
      <c r="HE1004" s="129"/>
      <c r="HF1004" s="132"/>
      <c r="HG1004" s="129"/>
      <c r="HH1004" s="129"/>
      <c r="HI1004" s="132"/>
      <c r="HJ1004" s="129"/>
      <c r="HK1004" s="129"/>
      <c r="HL1004" s="132"/>
      <c r="HM1004" s="129"/>
      <c r="HN1004" s="129"/>
      <c r="HO1004" s="132"/>
      <c r="HP1004" s="129"/>
      <c r="HQ1004" s="129"/>
      <c r="HR1004" s="132"/>
      <c r="HS1004" s="129"/>
      <c r="HT1004" s="129"/>
      <c r="HU1004" s="132"/>
      <c r="HV1004" s="129"/>
      <c r="HW1004" s="129"/>
      <c r="HX1004" s="132"/>
      <c r="HY1004" s="129"/>
      <c r="HZ1004" s="129"/>
      <c r="IA1004" s="132"/>
      <c r="IB1004" s="129"/>
      <c r="IC1004" s="129"/>
      <c r="ID1004" s="132"/>
      <c r="IE1004" s="129"/>
      <c r="IF1004" s="129"/>
      <c r="IG1004" s="132"/>
      <c r="IH1004" s="129"/>
      <c r="II1004" s="129"/>
      <c r="IJ1004" s="132"/>
      <c r="IK1004" s="129"/>
      <c r="IL1004" s="129"/>
      <c r="IM1004" s="132"/>
      <c r="IN1004" s="129"/>
      <c r="IO1004" s="129"/>
      <c r="IP1004" s="132"/>
      <c r="IQ1004" s="129"/>
      <c r="IR1004" s="129"/>
      <c r="IS1004" s="132"/>
      <c r="IT1004" s="129"/>
      <c r="IU1004" s="129"/>
      <c r="IV1004" s="132"/>
    </row>
    <row r="1005" spans="1:256" ht="15.75">
      <c r="A1005" s="156"/>
      <c r="B1005" s="118" t="s">
        <v>814</v>
      </c>
      <c r="C1005" s="132" t="s">
        <v>815</v>
      </c>
      <c r="D1005" s="129"/>
      <c r="E1005" s="129"/>
      <c r="F1005" s="130"/>
      <c r="G1005" s="399" t="s">
        <v>663</v>
      </c>
      <c r="H1005" s="120">
        <v>2214.0100000000002</v>
      </c>
      <c r="I1005" s="417">
        <v>26.34</v>
      </c>
      <c r="J1005" s="120">
        <v>18</v>
      </c>
      <c r="K1005" s="404"/>
      <c r="L1005" s="120">
        <f>J1005+K1005</f>
        <v>18</v>
      </c>
      <c r="M1005" s="120">
        <f>H1005*I1005</f>
        <v>58317.023400000005</v>
      </c>
      <c r="N1005" s="120">
        <f t="shared" si="318"/>
        <v>39852.180000000008</v>
      </c>
      <c r="O1005" s="404">
        <f>H1005*K1005</f>
        <v>0</v>
      </c>
      <c r="P1005" s="127">
        <f>H1005*L1005</f>
        <v>39852.180000000008</v>
      </c>
      <c r="Q1005" s="159"/>
      <c r="R1005" s="159"/>
      <c r="S1005" s="156"/>
      <c r="T1005" s="159"/>
      <c r="U1005" s="159"/>
      <c r="V1005" s="156"/>
      <c r="W1005" s="159"/>
      <c r="X1005" s="159"/>
      <c r="Y1005" s="156"/>
      <c r="Z1005" s="159"/>
      <c r="AA1005" s="159"/>
      <c r="AB1005" s="156"/>
      <c r="AC1005" s="159"/>
      <c r="AD1005" s="159"/>
      <c r="AE1005" s="156"/>
      <c r="AF1005" s="159"/>
      <c r="AG1005" s="159"/>
      <c r="AH1005" s="156"/>
      <c r="AI1005" s="159"/>
      <c r="AJ1005" s="159"/>
      <c r="AK1005" s="156"/>
      <c r="AL1005" s="159"/>
      <c r="AM1005" s="159"/>
      <c r="AN1005" s="156"/>
      <c r="AO1005" s="159"/>
      <c r="AP1005" s="159"/>
      <c r="AQ1005" s="156"/>
      <c r="AR1005" s="159"/>
      <c r="AS1005" s="159"/>
      <c r="AT1005" s="156"/>
      <c r="AU1005" s="159"/>
      <c r="AV1005" s="159"/>
      <c r="AW1005" s="156"/>
      <c r="AX1005" s="159"/>
      <c r="AY1005" s="159"/>
      <c r="AZ1005" s="156"/>
      <c r="BA1005" s="159"/>
      <c r="BB1005" s="159"/>
      <c r="BC1005" s="156"/>
      <c r="BD1005" s="159"/>
      <c r="BE1005" s="159"/>
      <c r="BF1005" s="156"/>
      <c r="BG1005" s="159"/>
      <c r="BH1005" s="159"/>
      <c r="BI1005" s="156"/>
      <c r="BJ1005" s="159"/>
      <c r="BK1005" s="159"/>
      <c r="BL1005" s="156"/>
      <c r="BM1005" s="159"/>
      <c r="BN1005" s="159"/>
      <c r="BO1005" s="156"/>
      <c r="BP1005" s="159"/>
      <c r="BQ1005" s="159"/>
      <c r="BR1005" s="156"/>
      <c r="BS1005" s="159"/>
      <c r="BT1005" s="159"/>
      <c r="BU1005" s="156"/>
      <c r="BV1005" s="159"/>
      <c r="BW1005" s="159"/>
      <c r="BX1005" s="156"/>
      <c r="BY1005" s="159"/>
      <c r="BZ1005" s="159"/>
      <c r="CA1005" s="156"/>
      <c r="CB1005" s="159"/>
      <c r="CC1005" s="159"/>
      <c r="CD1005" s="156"/>
      <c r="CE1005" s="159"/>
      <c r="CF1005" s="159"/>
      <c r="CG1005" s="156"/>
      <c r="CH1005" s="159"/>
      <c r="CI1005" s="159"/>
      <c r="CJ1005" s="156"/>
      <c r="CK1005" s="159"/>
      <c r="CL1005" s="159"/>
      <c r="CM1005" s="156"/>
      <c r="CN1005" s="159"/>
      <c r="CO1005" s="159"/>
      <c r="CP1005" s="156"/>
      <c r="CQ1005" s="159"/>
      <c r="CR1005" s="159"/>
      <c r="CS1005" s="156"/>
      <c r="CT1005" s="159"/>
      <c r="CU1005" s="159"/>
      <c r="CV1005" s="156"/>
      <c r="CW1005" s="159"/>
      <c r="CX1005" s="159"/>
      <c r="CY1005" s="156"/>
      <c r="CZ1005" s="159"/>
      <c r="DA1005" s="159"/>
      <c r="DB1005" s="156"/>
      <c r="DC1005" s="159"/>
      <c r="DD1005" s="159"/>
      <c r="DE1005" s="156"/>
      <c r="DF1005" s="159"/>
      <c r="DG1005" s="159"/>
      <c r="DH1005" s="156"/>
      <c r="DI1005" s="159"/>
      <c r="DJ1005" s="159"/>
      <c r="DK1005" s="156"/>
      <c r="DL1005" s="159"/>
      <c r="DM1005" s="159"/>
      <c r="DN1005" s="156"/>
      <c r="DO1005" s="159"/>
      <c r="DP1005" s="159"/>
      <c r="DQ1005" s="156"/>
      <c r="DR1005" s="159"/>
      <c r="DS1005" s="159"/>
      <c r="DT1005" s="156"/>
      <c r="DU1005" s="159"/>
      <c r="DV1005" s="159"/>
      <c r="DW1005" s="156"/>
      <c r="DX1005" s="159"/>
      <c r="DY1005" s="159"/>
      <c r="DZ1005" s="156"/>
      <c r="EA1005" s="159"/>
      <c r="EB1005" s="159"/>
      <c r="EC1005" s="156"/>
      <c r="ED1005" s="159"/>
      <c r="EE1005" s="159"/>
      <c r="EF1005" s="156"/>
      <c r="EG1005" s="159"/>
      <c r="EH1005" s="159"/>
      <c r="EI1005" s="156"/>
      <c r="EJ1005" s="159"/>
      <c r="EK1005" s="159"/>
      <c r="EL1005" s="156"/>
      <c r="EM1005" s="159"/>
      <c r="EN1005" s="159"/>
      <c r="EO1005" s="156"/>
      <c r="EP1005" s="159"/>
      <c r="EQ1005" s="159"/>
      <c r="ER1005" s="156"/>
      <c r="ES1005" s="159"/>
      <c r="ET1005" s="159"/>
      <c r="EU1005" s="156"/>
      <c r="EV1005" s="159"/>
      <c r="EW1005" s="159"/>
      <c r="EX1005" s="156"/>
      <c r="EY1005" s="159"/>
      <c r="EZ1005" s="159"/>
      <c r="FA1005" s="156"/>
      <c r="FB1005" s="159"/>
      <c r="FC1005" s="159"/>
      <c r="FD1005" s="156"/>
      <c r="FE1005" s="159"/>
      <c r="FF1005" s="159"/>
      <c r="FG1005" s="156"/>
      <c r="FH1005" s="159"/>
      <c r="FI1005" s="159"/>
      <c r="FJ1005" s="156"/>
      <c r="FK1005" s="159"/>
      <c r="FL1005" s="159"/>
      <c r="FM1005" s="156"/>
      <c r="FN1005" s="159"/>
      <c r="FO1005" s="159"/>
      <c r="FP1005" s="156"/>
      <c r="FQ1005" s="159"/>
      <c r="FR1005" s="159"/>
      <c r="FS1005" s="156"/>
      <c r="FT1005" s="159"/>
      <c r="FU1005" s="159"/>
      <c r="FV1005" s="156"/>
      <c r="FW1005" s="159"/>
      <c r="FX1005" s="159"/>
      <c r="FY1005" s="156"/>
      <c r="FZ1005" s="159"/>
      <c r="GA1005" s="159"/>
      <c r="GB1005" s="156"/>
      <c r="GC1005" s="159"/>
      <c r="GD1005" s="159"/>
      <c r="GE1005" s="156"/>
      <c r="GF1005" s="159"/>
      <c r="GG1005" s="159"/>
      <c r="GH1005" s="156"/>
      <c r="GI1005" s="159"/>
      <c r="GJ1005" s="159"/>
      <c r="GK1005" s="156"/>
      <c r="GL1005" s="159"/>
      <c r="GM1005" s="159"/>
      <c r="GN1005" s="156"/>
      <c r="GO1005" s="159"/>
      <c r="GP1005" s="159"/>
      <c r="GQ1005" s="156"/>
      <c r="GR1005" s="159"/>
      <c r="GS1005" s="159"/>
      <c r="GT1005" s="156"/>
      <c r="GU1005" s="159"/>
      <c r="GV1005" s="159"/>
      <c r="GW1005" s="156"/>
      <c r="GX1005" s="159"/>
      <c r="GY1005" s="159"/>
      <c r="GZ1005" s="156"/>
      <c r="HA1005" s="159"/>
      <c r="HB1005" s="159"/>
      <c r="HC1005" s="156"/>
      <c r="HD1005" s="159"/>
      <c r="HE1005" s="159"/>
      <c r="HF1005" s="156"/>
      <c r="HG1005" s="159"/>
      <c r="HH1005" s="159"/>
      <c r="HI1005" s="156"/>
      <c r="HJ1005" s="159"/>
      <c r="HK1005" s="159"/>
      <c r="HL1005" s="156"/>
      <c r="HM1005" s="159"/>
      <c r="HN1005" s="159"/>
      <c r="HO1005" s="156"/>
      <c r="HP1005" s="159"/>
      <c r="HQ1005" s="159"/>
      <c r="HR1005" s="156"/>
      <c r="HS1005" s="159"/>
      <c r="HT1005" s="159"/>
      <c r="HU1005" s="156"/>
      <c r="HV1005" s="159"/>
      <c r="HW1005" s="159"/>
      <c r="HX1005" s="156"/>
      <c r="HY1005" s="159"/>
      <c r="HZ1005" s="159"/>
      <c r="IA1005" s="156"/>
      <c r="IB1005" s="159"/>
      <c r="IC1005" s="159"/>
      <c r="ID1005" s="156"/>
      <c r="IE1005" s="159"/>
      <c r="IF1005" s="159"/>
      <c r="IG1005" s="156"/>
      <c r="IH1005" s="159"/>
      <c r="II1005" s="159"/>
      <c r="IJ1005" s="156"/>
      <c r="IK1005" s="159"/>
      <c r="IL1005" s="159"/>
      <c r="IM1005" s="156"/>
      <c r="IN1005" s="159"/>
      <c r="IO1005" s="159"/>
      <c r="IP1005" s="156"/>
      <c r="IQ1005" s="159"/>
      <c r="IR1005" s="159"/>
      <c r="IS1005" s="156"/>
      <c r="IT1005" s="159"/>
      <c r="IU1005" s="159"/>
      <c r="IV1005" s="156"/>
    </row>
    <row r="1006" spans="1:256" ht="15.75">
      <c r="A1006" s="132"/>
      <c r="B1006" s="147"/>
      <c r="C1006" s="132"/>
      <c r="D1006" s="129"/>
      <c r="E1006" s="129"/>
      <c r="F1006" s="130"/>
      <c r="G1006" s="399"/>
      <c r="H1006" s="120"/>
      <c r="I1006" s="417"/>
      <c r="J1006" s="120"/>
      <c r="K1006" s="404"/>
      <c r="L1006" s="120">
        <f>J1006+K1006</f>
        <v>0</v>
      </c>
      <c r="M1006" s="120">
        <f>H1006*I1006</f>
        <v>0</v>
      </c>
      <c r="N1006" s="120">
        <f t="shared" si="318"/>
        <v>0</v>
      </c>
      <c r="O1006" s="404">
        <f>H1006*K1006</f>
        <v>0</v>
      </c>
      <c r="P1006" s="127">
        <f>H1006*L1006</f>
        <v>0</v>
      </c>
      <c r="Q1006" s="129"/>
      <c r="R1006" s="129"/>
      <c r="S1006" s="132"/>
      <c r="T1006" s="129"/>
      <c r="U1006" s="129"/>
      <c r="V1006" s="132"/>
      <c r="W1006" s="129"/>
      <c r="X1006" s="129"/>
      <c r="Y1006" s="132"/>
      <c r="Z1006" s="129"/>
      <c r="AA1006" s="129"/>
      <c r="AB1006" s="132"/>
      <c r="AC1006" s="129"/>
      <c r="AD1006" s="129"/>
      <c r="AE1006" s="132"/>
      <c r="AF1006" s="129"/>
      <c r="AG1006" s="129"/>
      <c r="AH1006" s="132"/>
      <c r="AI1006" s="129"/>
      <c r="AJ1006" s="129"/>
      <c r="AK1006" s="132"/>
      <c r="AL1006" s="129"/>
      <c r="AM1006" s="129"/>
      <c r="AN1006" s="132"/>
      <c r="AO1006" s="129"/>
      <c r="AP1006" s="129"/>
      <c r="AQ1006" s="132"/>
      <c r="AR1006" s="129"/>
      <c r="AS1006" s="129"/>
      <c r="AT1006" s="132"/>
      <c r="AU1006" s="129"/>
      <c r="AV1006" s="129"/>
      <c r="AW1006" s="132"/>
      <c r="AX1006" s="129"/>
      <c r="AY1006" s="129"/>
      <c r="AZ1006" s="132"/>
      <c r="BA1006" s="129"/>
      <c r="BB1006" s="129"/>
      <c r="BC1006" s="132"/>
      <c r="BD1006" s="129"/>
      <c r="BE1006" s="129"/>
      <c r="BF1006" s="132"/>
      <c r="BG1006" s="129"/>
      <c r="BH1006" s="129"/>
      <c r="BI1006" s="132"/>
      <c r="BJ1006" s="129"/>
      <c r="BK1006" s="129"/>
      <c r="BL1006" s="132"/>
      <c r="BM1006" s="129"/>
      <c r="BN1006" s="129"/>
      <c r="BO1006" s="132"/>
      <c r="BP1006" s="129"/>
      <c r="BQ1006" s="129"/>
      <c r="BR1006" s="132"/>
      <c r="BS1006" s="129"/>
      <c r="BT1006" s="129"/>
      <c r="BU1006" s="132"/>
      <c r="BV1006" s="129"/>
      <c r="BW1006" s="129"/>
      <c r="BX1006" s="132"/>
      <c r="BY1006" s="129"/>
      <c r="BZ1006" s="129"/>
      <c r="CA1006" s="132"/>
      <c r="CB1006" s="129"/>
      <c r="CC1006" s="129"/>
      <c r="CD1006" s="132"/>
      <c r="CE1006" s="129"/>
      <c r="CF1006" s="129"/>
      <c r="CG1006" s="132"/>
      <c r="CH1006" s="129"/>
      <c r="CI1006" s="129"/>
      <c r="CJ1006" s="132"/>
      <c r="CK1006" s="129"/>
      <c r="CL1006" s="129"/>
      <c r="CM1006" s="132"/>
      <c r="CN1006" s="129"/>
      <c r="CO1006" s="129"/>
      <c r="CP1006" s="132"/>
      <c r="CQ1006" s="129"/>
      <c r="CR1006" s="129"/>
      <c r="CS1006" s="132"/>
      <c r="CT1006" s="129"/>
      <c r="CU1006" s="129"/>
      <c r="CV1006" s="132"/>
      <c r="CW1006" s="129"/>
      <c r="CX1006" s="129"/>
      <c r="CY1006" s="132"/>
      <c r="CZ1006" s="129"/>
      <c r="DA1006" s="129"/>
      <c r="DB1006" s="132"/>
      <c r="DC1006" s="129"/>
      <c r="DD1006" s="129"/>
      <c r="DE1006" s="132"/>
      <c r="DF1006" s="129"/>
      <c r="DG1006" s="129"/>
      <c r="DH1006" s="132"/>
      <c r="DI1006" s="129"/>
      <c r="DJ1006" s="129"/>
      <c r="DK1006" s="132"/>
      <c r="DL1006" s="129"/>
      <c r="DM1006" s="129"/>
      <c r="DN1006" s="132"/>
      <c r="DO1006" s="129"/>
      <c r="DP1006" s="129"/>
      <c r="DQ1006" s="132"/>
      <c r="DR1006" s="129"/>
      <c r="DS1006" s="129"/>
      <c r="DT1006" s="132"/>
      <c r="DU1006" s="129"/>
      <c r="DV1006" s="129"/>
      <c r="DW1006" s="132"/>
      <c r="DX1006" s="129"/>
      <c r="DY1006" s="129"/>
      <c r="DZ1006" s="132"/>
      <c r="EA1006" s="129"/>
      <c r="EB1006" s="129"/>
      <c r="EC1006" s="132"/>
      <c r="ED1006" s="129"/>
      <c r="EE1006" s="129"/>
      <c r="EF1006" s="132"/>
      <c r="EG1006" s="129"/>
      <c r="EH1006" s="129"/>
      <c r="EI1006" s="132"/>
      <c r="EJ1006" s="129"/>
      <c r="EK1006" s="129"/>
      <c r="EL1006" s="132"/>
      <c r="EM1006" s="129"/>
      <c r="EN1006" s="129"/>
      <c r="EO1006" s="132"/>
      <c r="EP1006" s="129"/>
      <c r="EQ1006" s="129"/>
      <c r="ER1006" s="132"/>
      <c r="ES1006" s="129"/>
      <c r="ET1006" s="129"/>
      <c r="EU1006" s="132"/>
      <c r="EV1006" s="129"/>
      <c r="EW1006" s="129"/>
      <c r="EX1006" s="132"/>
      <c r="EY1006" s="129"/>
      <c r="EZ1006" s="129"/>
      <c r="FA1006" s="132"/>
      <c r="FB1006" s="129"/>
      <c r="FC1006" s="129"/>
      <c r="FD1006" s="132"/>
      <c r="FE1006" s="129"/>
      <c r="FF1006" s="129"/>
      <c r="FG1006" s="132"/>
      <c r="FH1006" s="129"/>
      <c r="FI1006" s="129"/>
      <c r="FJ1006" s="132"/>
      <c r="FK1006" s="129"/>
      <c r="FL1006" s="129"/>
      <c r="FM1006" s="132"/>
      <c r="FN1006" s="129"/>
      <c r="FO1006" s="129"/>
      <c r="FP1006" s="132"/>
      <c r="FQ1006" s="129"/>
      <c r="FR1006" s="129"/>
      <c r="FS1006" s="132"/>
      <c r="FT1006" s="129"/>
      <c r="FU1006" s="129"/>
      <c r="FV1006" s="132"/>
      <c r="FW1006" s="129"/>
      <c r="FX1006" s="129"/>
      <c r="FY1006" s="132"/>
      <c r="FZ1006" s="129"/>
      <c r="GA1006" s="129"/>
      <c r="GB1006" s="132"/>
      <c r="GC1006" s="129"/>
      <c r="GD1006" s="129"/>
      <c r="GE1006" s="132"/>
      <c r="GF1006" s="129"/>
      <c r="GG1006" s="129"/>
      <c r="GH1006" s="132"/>
      <c r="GI1006" s="129"/>
      <c r="GJ1006" s="129"/>
      <c r="GK1006" s="132"/>
      <c r="GL1006" s="129"/>
      <c r="GM1006" s="129"/>
      <c r="GN1006" s="132"/>
      <c r="GO1006" s="129"/>
      <c r="GP1006" s="129"/>
      <c r="GQ1006" s="132"/>
      <c r="GR1006" s="129"/>
      <c r="GS1006" s="129"/>
      <c r="GT1006" s="132"/>
      <c r="GU1006" s="129"/>
      <c r="GV1006" s="129"/>
      <c r="GW1006" s="132"/>
      <c r="GX1006" s="129"/>
      <c r="GY1006" s="129"/>
      <c r="GZ1006" s="132"/>
      <c r="HA1006" s="129"/>
      <c r="HB1006" s="129"/>
      <c r="HC1006" s="132"/>
      <c r="HD1006" s="129"/>
      <c r="HE1006" s="129"/>
      <c r="HF1006" s="132"/>
      <c r="HG1006" s="129"/>
      <c r="HH1006" s="129"/>
      <c r="HI1006" s="132"/>
      <c r="HJ1006" s="129"/>
      <c r="HK1006" s="129"/>
      <c r="HL1006" s="132"/>
      <c r="HM1006" s="129"/>
      <c r="HN1006" s="129"/>
      <c r="HO1006" s="132"/>
      <c r="HP1006" s="129"/>
      <c r="HQ1006" s="129"/>
      <c r="HR1006" s="132"/>
      <c r="HS1006" s="129"/>
      <c r="HT1006" s="129"/>
      <c r="HU1006" s="132"/>
      <c r="HV1006" s="129"/>
      <c r="HW1006" s="129"/>
      <c r="HX1006" s="132"/>
      <c r="HY1006" s="129"/>
      <c r="HZ1006" s="129"/>
      <c r="IA1006" s="132"/>
      <c r="IB1006" s="129"/>
      <c r="IC1006" s="129"/>
      <c r="ID1006" s="132"/>
      <c r="IE1006" s="129"/>
      <c r="IF1006" s="129"/>
      <c r="IG1006" s="132"/>
      <c r="IH1006" s="129"/>
      <c r="II1006" s="129"/>
      <c r="IJ1006" s="132"/>
      <c r="IK1006" s="129"/>
      <c r="IL1006" s="129"/>
      <c r="IM1006" s="132"/>
      <c r="IN1006" s="129"/>
      <c r="IO1006" s="129"/>
      <c r="IP1006" s="132"/>
      <c r="IQ1006" s="129"/>
      <c r="IR1006" s="129"/>
      <c r="IS1006" s="132"/>
      <c r="IT1006" s="129"/>
      <c r="IU1006" s="129"/>
      <c r="IV1006" s="132"/>
    </row>
    <row r="1007" spans="1:256" ht="15.75">
      <c r="A1007" s="132"/>
      <c r="B1007" s="118"/>
      <c r="C1007" s="132"/>
      <c r="D1007" s="129"/>
      <c r="E1007" s="129"/>
      <c r="F1007" s="130"/>
      <c r="G1007" s="399"/>
      <c r="H1007" s="120"/>
      <c r="I1007" s="417"/>
      <c r="J1007" s="120"/>
      <c r="K1007" s="404"/>
      <c r="L1007" s="120">
        <f>J1007+K1007</f>
        <v>0</v>
      </c>
      <c r="M1007" s="120">
        <f>H1007*I1007</f>
        <v>0</v>
      </c>
      <c r="N1007" s="120">
        <f t="shared" si="318"/>
        <v>0</v>
      </c>
      <c r="O1007" s="404">
        <f>H1007*K1007</f>
        <v>0</v>
      </c>
      <c r="P1007" s="127">
        <f>H1007*L1007</f>
        <v>0</v>
      </c>
      <c r="Q1007" s="129"/>
      <c r="R1007" s="129"/>
      <c r="S1007" s="132"/>
      <c r="T1007" s="129"/>
      <c r="U1007" s="129"/>
      <c r="V1007" s="132"/>
      <c r="W1007" s="129"/>
      <c r="X1007" s="129"/>
      <c r="Y1007" s="132"/>
      <c r="Z1007" s="129"/>
      <c r="AA1007" s="129"/>
      <c r="AB1007" s="132"/>
      <c r="AC1007" s="129"/>
      <c r="AD1007" s="129"/>
      <c r="AE1007" s="132"/>
      <c r="AF1007" s="129"/>
      <c r="AG1007" s="129"/>
      <c r="AH1007" s="132"/>
      <c r="AI1007" s="129"/>
      <c r="AJ1007" s="129"/>
      <c r="AK1007" s="132"/>
      <c r="AL1007" s="129"/>
      <c r="AM1007" s="129"/>
      <c r="AN1007" s="132"/>
      <c r="AO1007" s="129"/>
      <c r="AP1007" s="129"/>
      <c r="AQ1007" s="132"/>
      <c r="AR1007" s="129"/>
      <c r="AS1007" s="129"/>
      <c r="AT1007" s="132"/>
      <c r="AU1007" s="129"/>
      <c r="AV1007" s="129"/>
      <c r="AW1007" s="132"/>
      <c r="AX1007" s="129"/>
      <c r="AY1007" s="129"/>
      <c r="AZ1007" s="132"/>
      <c r="BA1007" s="129"/>
      <c r="BB1007" s="129"/>
      <c r="BC1007" s="132"/>
      <c r="BD1007" s="129"/>
      <c r="BE1007" s="129"/>
      <c r="BF1007" s="132"/>
      <c r="BG1007" s="129"/>
      <c r="BH1007" s="129"/>
      <c r="BI1007" s="132"/>
      <c r="BJ1007" s="129"/>
      <c r="BK1007" s="129"/>
      <c r="BL1007" s="132"/>
      <c r="BM1007" s="129"/>
      <c r="BN1007" s="129"/>
      <c r="BO1007" s="132"/>
      <c r="BP1007" s="129"/>
      <c r="BQ1007" s="129"/>
      <c r="BR1007" s="132"/>
      <c r="BS1007" s="129"/>
      <c r="BT1007" s="129"/>
      <c r="BU1007" s="132"/>
      <c r="BV1007" s="129"/>
      <c r="BW1007" s="129"/>
      <c r="BX1007" s="132"/>
      <c r="BY1007" s="129"/>
      <c r="BZ1007" s="129"/>
      <c r="CA1007" s="132"/>
      <c r="CB1007" s="129"/>
      <c r="CC1007" s="129"/>
      <c r="CD1007" s="132"/>
      <c r="CE1007" s="129"/>
      <c r="CF1007" s="129"/>
      <c r="CG1007" s="132"/>
      <c r="CH1007" s="129"/>
      <c r="CI1007" s="129"/>
      <c r="CJ1007" s="132"/>
      <c r="CK1007" s="129"/>
      <c r="CL1007" s="129"/>
      <c r="CM1007" s="132"/>
      <c r="CN1007" s="129"/>
      <c r="CO1007" s="129"/>
      <c r="CP1007" s="132"/>
      <c r="CQ1007" s="129"/>
      <c r="CR1007" s="129"/>
      <c r="CS1007" s="132"/>
      <c r="CT1007" s="129"/>
      <c r="CU1007" s="129"/>
      <c r="CV1007" s="132"/>
      <c r="CW1007" s="129"/>
      <c r="CX1007" s="129"/>
      <c r="CY1007" s="132"/>
      <c r="CZ1007" s="129"/>
      <c r="DA1007" s="129"/>
      <c r="DB1007" s="132"/>
      <c r="DC1007" s="129"/>
      <c r="DD1007" s="129"/>
      <c r="DE1007" s="132"/>
      <c r="DF1007" s="129"/>
      <c r="DG1007" s="129"/>
      <c r="DH1007" s="132"/>
      <c r="DI1007" s="129"/>
      <c r="DJ1007" s="129"/>
      <c r="DK1007" s="132"/>
      <c r="DL1007" s="129"/>
      <c r="DM1007" s="129"/>
      <c r="DN1007" s="132"/>
      <c r="DO1007" s="129"/>
      <c r="DP1007" s="129"/>
      <c r="DQ1007" s="132"/>
      <c r="DR1007" s="129"/>
      <c r="DS1007" s="129"/>
      <c r="DT1007" s="132"/>
      <c r="DU1007" s="129"/>
      <c r="DV1007" s="129"/>
      <c r="DW1007" s="132"/>
      <c r="DX1007" s="129"/>
      <c r="DY1007" s="129"/>
      <c r="DZ1007" s="132"/>
      <c r="EA1007" s="129"/>
      <c r="EB1007" s="129"/>
      <c r="EC1007" s="132"/>
      <c r="ED1007" s="129"/>
      <c r="EE1007" s="129"/>
      <c r="EF1007" s="132"/>
      <c r="EG1007" s="129"/>
      <c r="EH1007" s="129"/>
      <c r="EI1007" s="132"/>
      <c r="EJ1007" s="129"/>
      <c r="EK1007" s="129"/>
      <c r="EL1007" s="132"/>
      <c r="EM1007" s="129"/>
      <c r="EN1007" s="129"/>
      <c r="EO1007" s="132"/>
      <c r="EP1007" s="129"/>
      <c r="EQ1007" s="129"/>
      <c r="ER1007" s="132"/>
      <c r="ES1007" s="129"/>
      <c r="ET1007" s="129"/>
      <c r="EU1007" s="132"/>
      <c r="EV1007" s="129"/>
      <c r="EW1007" s="129"/>
      <c r="EX1007" s="132"/>
      <c r="EY1007" s="129"/>
      <c r="EZ1007" s="129"/>
      <c r="FA1007" s="132"/>
      <c r="FB1007" s="129"/>
      <c r="FC1007" s="129"/>
      <c r="FD1007" s="132"/>
      <c r="FE1007" s="129"/>
      <c r="FF1007" s="129"/>
      <c r="FG1007" s="132"/>
      <c r="FH1007" s="129"/>
      <c r="FI1007" s="129"/>
      <c r="FJ1007" s="132"/>
      <c r="FK1007" s="129"/>
      <c r="FL1007" s="129"/>
      <c r="FM1007" s="132"/>
      <c r="FN1007" s="129"/>
      <c r="FO1007" s="129"/>
      <c r="FP1007" s="132"/>
      <c r="FQ1007" s="129"/>
      <c r="FR1007" s="129"/>
      <c r="FS1007" s="132"/>
      <c r="FT1007" s="129"/>
      <c r="FU1007" s="129"/>
      <c r="FV1007" s="132"/>
      <c r="FW1007" s="129"/>
      <c r="FX1007" s="129"/>
      <c r="FY1007" s="132"/>
      <c r="FZ1007" s="129"/>
      <c r="GA1007" s="129"/>
      <c r="GB1007" s="132"/>
      <c r="GC1007" s="129"/>
      <c r="GD1007" s="129"/>
      <c r="GE1007" s="132"/>
      <c r="GF1007" s="129"/>
      <c r="GG1007" s="129"/>
      <c r="GH1007" s="132"/>
      <c r="GI1007" s="129"/>
      <c r="GJ1007" s="129"/>
      <c r="GK1007" s="132"/>
      <c r="GL1007" s="129"/>
      <c r="GM1007" s="129"/>
      <c r="GN1007" s="132"/>
      <c r="GO1007" s="129"/>
      <c r="GP1007" s="129"/>
      <c r="GQ1007" s="132"/>
      <c r="GR1007" s="129"/>
      <c r="GS1007" s="129"/>
      <c r="GT1007" s="132"/>
      <c r="GU1007" s="129"/>
      <c r="GV1007" s="129"/>
      <c r="GW1007" s="132"/>
      <c r="GX1007" s="129"/>
      <c r="GY1007" s="129"/>
      <c r="GZ1007" s="132"/>
      <c r="HA1007" s="129"/>
      <c r="HB1007" s="129"/>
      <c r="HC1007" s="132"/>
      <c r="HD1007" s="129"/>
      <c r="HE1007" s="129"/>
      <c r="HF1007" s="132"/>
      <c r="HG1007" s="129"/>
      <c r="HH1007" s="129"/>
      <c r="HI1007" s="132"/>
      <c r="HJ1007" s="129"/>
      <c r="HK1007" s="129"/>
      <c r="HL1007" s="132"/>
      <c r="HM1007" s="129"/>
      <c r="HN1007" s="129"/>
      <c r="HO1007" s="132"/>
      <c r="HP1007" s="129"/>
      <c r="HQ1007" s="129"/>
      <c r="HR1007" s="132"/>
      <c r="HS1007" s="129"/>
      <c r="HT1007" s="129"/>
      <c r="HU1007" s="132"/>
      <c r="HV1007" s="129"/>
      <c r="HW1007" s="129"/>
      <c r="HX1007" s="132"/>
      <c r="HY1007" s="129"/>
      <c r="HZ1007" s="129"/>
      <c r="IA1007" s="132"/>
      <c r="IB1007" s="129"/>
      <c r="IC1007" s="129"/>
      <c r="ID1007" s="132"/>
      <c r="IE1007" s="129"/>
      <c r="IF1007" s="129"/>
      <c r="IG1007" s="132"/>
      <c r="IH1007" s="129"/>
      <c r="II1007" s="129"/>
      <c r="IJ1007" s="132"/>
      <c r="IK1007" s="129"/>
      <c r="IL1007" s="129"/>
      <c r="IM1007" s="132"/>
      <c r="IN1007" s="129"/>
      <c r="IO1007" s="129"/>
      <c r="IP1007" s="132"/>
      <c r="IQ1007" s="129"/>
      <c r="IR1007" s="129"/>
      <c r="IS1007" s="132"/>
      <c r="IT1007" s="129"/>
      <c r="IU1007" s="129"/>
      <c r="IV1007" s="132"/>
    </row>
    <row r="1008" spans="1:256" ht="15.75">
      <c r="A1008" s="156"/>
      <c r="B1008" s="118" t="s">
        <v>827</v>
      </c>
      <c r="C1008" s="132" t="s">
        <v>806</v>
      </c>
      <c r="D1008" s="129"/>
      <c r="E1008" s="129"/>
      <c r="F1008" s="130"/>
      <c r="G1008" s="399" t="s">
        <v>684</v>
      </c>
      <c r="H1008" s="120">
        <v>750.33</v>
      </c>
      <c r="I1008" s="417">
        <v>28</v>
      </c>
      <c r="J1008" s="120">
        <v>0</v>
      </c>
      <c r="K1008" s="404"/>
      <c r="L1008" s="120">
        <f>J1008+K1008</f>
        <v>0</v>
      </c>
      <c r="M1008" s="120">
        <f>H1008*I1008</f>
        <v>21009.24</v>
      </c>
      <c r="N1008" s="120">
        <f t="shared" si="318"/>
        <v>0</v>
      </c>
      <c r="O1008" s="404">
        <f>H1008*K1008</f>
        <v>0</v>
      </c>
      <c r="P1008" s="127">
        <f>H1008*L1008</f>
        <v>0</v>
      </c>
      <c r="Q1008" s="159"/>
      <c r="R1008" s="159"/>
      <c r="S1008" s="156"/>
      <c r="T1008" s="159"/>
      <c r="U1008" s="159"/>
      <c r="V1008" s="156"/>
      <c r="W1008" s="159"/>
      <c r="X1008" s="159"/>
      <c r="Y1008" s="156"/>
      <c r="Z1008" s="159"/>
      <c r="AA1008" s="159"/>
      <c r="AB1008" s="156"/>
      <c r="AC1008" s="159"/>
      <c r="AD1008" s="159"/>
      <c r="AE1008" s="156"/>
      <c r="AF1008" s="159"/>
      <c r="AG1008" s="159"/>
      <c r="AH1008" s="156"/>
      <c r="AI1008" s="159"/>
      <c r="AJ1008" s="159"/>
      <c r="AK1008" s="156"/>
      <c r="AL1008" s="159"/>
      <c r="AM1008" s="159"/>
      <c r="AN1008" s="156"/>
      <c r="AO1008" s="159"/>
      <c r="AP1008" s="159"/>
      <c r="AQ1008" s="156"/>
      <c r="AR1008" s="159"/>
      <c r="AS1008" s="159"/>
      <c r="AT1008" s="156"/>
      <c r="AU1008" s="159"/>
      <c r="AV1008" s="159"/>
      <c r="AW1008" s="156"/>
      <c r="AX1008" s="159"/>
      <c r="AY1008" s="159"/>
      <c r="AZ1008" s="156"/>
      <c r="BA1008" s="159"/>
      <c r="BB1008" s="159"/>
      <c r="BC1008" s="156"/>
      <c r="BD1008" s="159"/>
      <c r="BE1008" s="159"/>
      <c r="BF1008" s="156"/>
      <c r="BG1008" s="159"/>
      <c r="BH1008" s="159"/>
      <c r="BI1008" s="156"/>
      <c r="BJ1008" s="159"/>
      <c r="BK1008" s="159"/>
      <c r="BL1008" s="156"/>
      <c r="BM1008" s="159"/>
      <c r="BN1008" s="159"/>
      <c r="BO1008" s="156"/>
      <c r="BP1008" s="159"/>
      <c r="BQ1008" s="159"/>
      <c r="BR1008" s="156"/>
      <c r="BS1008" s="159"/>
      <c r="BT1008" s="159"/>
      <c r="BU1008" s="156"/>
      <c r="BV1008" s="159"/>
      <c r="BW1008" s="159"/>
      <c r="BX1008" s="156"/>
      <c r="BY1008" s="159"/>
      <c r="BZ1008" s="159"/>
      <c r="CA1008" s="156"/>
      <c r="CB1008" s="159"/>
      <c r="CC1008" s="159"/>
      <c r="CD1008" s="156"/>
      <c r="CE1008" s="159"/>
      <c r="CF1008" s="159"/>
      <c r="CG1008" s="156"/>
      <c r="CH1008" s="159"/>
      <c r="CI1008" s="159"/>
      <c r="CJ1008" s="156"/>
      <c r="CK1008" s="159"/>
      <c r="CL1008" s="159"/>
      <c r="CM1008" s="156"/>
      <c r="CN1008" s="159"/>
      <c r="CO1008" s="159"/>
      <c r="CP1008" s="156"/>
      <c r="CQ1008" s="159"/>
      <c r="CR1008" s="159"/>
      <c r="CS1008" s="156"/>
      <c r="CT1008" s="159"/>
      <c r="CU1008" s="159"/>
      <c r="CV1008" s="156"/>
      <c r="CW1008" s="159"/>
      <c r="CX1008" s="159"/>
      <c r="CY1008" s="156"/>
      <c r="CZ1008" s="159"/>
      <c r="DA1008" s="159"/>
      <c r="DB1008" s="156"/>
      <c r="DC1008" s="159"/>
      <c r="DD1008" s="159"/>
      <c r="DE1008" s="156"/>
      <c r="DF1008" s="159"/>
      <c r="DG1008" s="159"/>
      <c r="DH1008" s="156"/>
      <c r="DI1008" s="159"/>
      <c r="DJ1008" s="159"/>
      <c r="DK1008" s="156"/>
      <c r="DL1008" s="159"/>
      <c r="DM1008" s="159"/>
      <c r="DN1008" s="156"/>
      <c r="DO1008" s="159"/>
      <c r="DP1008" s="159"/>
      <c r="DQ1008" s="156"/>
      <c r="DR1008" s="159"/>
      <c r="DS1008" s="159"/>
      <c r="DT1008" s="156"/>
      <c r="DU1008" s="159"/>
      <c r="DV1008" s="159"/>
      <c r="DW1008" s="156"/>
      <c r="DX1008" s="159"/>
      <c r="DY1008" s="159"/>
      <c r="DZ1008" s="156"/>
      <c r="EA1008" s="159"/>
      <c r="EB1008" s="159"/>
      <c r="EC1008" s="156"/>
      <c r="ED1008" s="159"/>
      <c r="EE1008" s="159"/>
      <c r="EF1008" s="156"/>
      <c r="EG1008" s="159"/>
      <c r="EH1008" s="159"/>
      <c r="EI1008" s="156"/>
      <c r="EJ1008" s="159"/>
      <c r="EK1008" s="159"/>
      <c r="EL1008" s="156"/>
      <c r="EM1008" s="159"/>
      <c r="EN1008" s="159"/>
      <c r="EO1008" s="156"/>
      <c r="EP1008" s="159"/>
      <c r="EQ1008" s="159"/>
      <c r="ER1008" s="156"/>
      <c r="ES1008" s="159"/>
      <c r="ET1008" s="159"/>
      <c r="EU1008" s="156"/>
      <c r="EV1008" s="159"/>
      <c r="EW1008" s="159"/>
      <c r="EX1008" s="156"/>
      <c r="EY1008" s="159"/>
      <c r="EZ1008" s="159"/>
      <c r="FA1008" s="156"/>
      <c r="FB1008" s="159"/>
      <c r="FC1008" s="159"/>
      <c r="FD1008" s="156"/>
      <c r="FE1008" s="159"/>
      <c r="FF1008" s="159"/>
      <c r="FG1008" s="156"/>
      <c r="FH1008" s="159"/>
      <c r="FI1008" s="159"/>
      <c r="FJ1008" s="156"/>
      <c r="FK1008" s="159"/>
      <c r="FL1008" s="159"/>
      <c r="FM1008" s="156"/>
      <c r="FN1008" s="159"/>
      <c r="FO1008" s="159"/>
      <c r="FP1008" s="156"/>
      <c r="FQ1008" s="159"/>
      <c r="FR1008" s="159"/>
      <c r="FS1008" s="156"/>
      <c r="FT1008" s="159"/>
      <c r="FU1008" s="159"/>
      <c r="FV1008" s="156"/>
      <c r="FW1008" s="159"/>
      <c r="FX1008" s="159"/>
      <c r="FY1008" s="156"/>
      <c r="FZ1008" s="159"/>
      <c r="GA1008" s="159"/>
      <c r="GB1008" s="156"/>
      <c r="GC1008" s="159"/>
      <c r="GD1008" s="159"/>
      <c r="GE1008" s="156"/>
      <c r="GF1008" s="159"/>
      <c r="GG1008" s="159"/>
      <c r="GH1008" s="156"/>
      <c r="GI1008" s="159"/>
      <c r="GJ1008" s="159"/>
      <c r="GK1008" s="156"/>
      <c r="GL1008" s="159"/>
      <c r="GM1008" s="159"/>
      <c r="GN1008" s="156"/>
      <c r="GO1008" s="159"/>
      <c r="GP1008" s="159"/>
      <c r="GQ1008" s="156"/>
      <c r="GR1008" s="159"/>
      <c r="GS1008" s="159"/>
      <c r="GT1008" s="156"/>
      <c r="GU1008" s="159"/>
      <c r="GV1008" s="159"/>
      <c r="GW1008" s="156"/>
      <c r="GX1008" s="159"/>
      <c r="GY1008" s="159"/>
      <c r="GZ1008" s="156"/>
      <c r="HA1008" s="159"/>
      <c r="HB1008" s="159"/>
      <c r="HC1008" s="156"/>
      <c r="HD1008" s="159"/>
      <c r="HE1008" s="159"/>
      <c r="HF1008" s="156"/>
      <c r="HG1008" s="159"/>
      <c r="HH1008" s="159"/>
      <c r="HI1008" s="156"/>
      <c r="HJ1008" s="159"/>
      <c r="HK1008" s="159"/>
      <c r="HL1008" s="156"/>
      <c r="HM1008" s="159"/>
      <c r="HN1008" s="159"/>
      <c r="HO1008" s="156"/>
      <c r="HP1008" s="159"/>
      <c r="HQ1008" s="159"/>
      <c r="HR1008" s="156"/>
      <c r="HS1008" s="159"/>
      <c r="HT1008" s="159"/>
      <c r="HU1008" s="156"/>
      <c r="HV1008" s="159"/>
      <c r="HW1008" s="159"/>
      <c r="HX1008" s="156"/>
      <c r="HY1008" s="159"/>
      <c r="HZ1008" s="159"/>
      <c r="IA1008" s="156"/>
      <c r="IB1008" s="159"/>
      <c r="IC1008" s="159"/>
      <c r="ID1008" s="156"/>
      <c r="IE1008" s="159"/>
      <c r="IF1008" s="159"/>
      <c r="IG1008" s="156"/>
      <c r="IH1008" s="159"/>
      <c r="II1008" s="159"/>
      <c r="IJ1008" s="156"/>
      <c r="IK1008" s="159"/>
      <c r="IL1008" s="159"/>
      <c r="IM1008" s="156"/>
      <c r="IN1008" s="159"/>
      <c r="IO1008" s="159"/>
      <c r="IP1008" s="156"/>
      <c r="IQ1008" s="159"/>
      <c r="IR1008" s="159"/>
      <c r="IS1008" s="156"/>
      <c r="IT1008" s="159"/>
      <c r="IU1008" s="159"/>
      <c r="IV1008" s="156"/>
    </row>
    <row r="1009" spans="1:256" ht="15.75">
      <c r="A1009" s="132"/>
      <c r="B1009" s="118"/>
      <c r="C1009" s="132"/>
      <c r="D1009" s="129"/>
      <c r="E1009" s="129"/>
      <c r="F1009" s="130"/>
      <c r="G1009" s="399"/>
      <c r="H1009" s="120"/>
      <c r="I1009" s="417"/>
      <c r="J1009" s="120"/>
      <c r="K1009" s="404"/>
      <c r="L1009" s="120">
        <f>J1009+K1009</f>
        <v>0</v>
      </c>
      <c r="M1009" s="120">
        <f>H1009*I1009</f>
        <v>0</v>
      </c>
      <c r="N1009" s="120">
        <f t="shared" si="318"/>
        <v>0</v>
      </c>
      <c r="O1009" s="404">
        <f>H1009*K1009</f>
        <v>0</v>
      </c>
      <c r="P1009" s="127">
        <f>H1009*L1009</f>
        <v>0</v>
      </c>
      <c r="Q1009" s="129"/>
      <c r="R1009" s="129"/>
      <c r="S1009" s="132"/>
      <c r="T1009" s="129"/>
      <c r="U1009" s="129"/>
      <c r="V1009" s="132"/>
      <c r="W1009" s="129"/>
      <c r="X1009" s="129"/>
      <c r="Y1009" s="132"/>
      <c r="Z1009" s="129"/>
      <c r="AA1009" s="129"/>
      <c r="AB1009" s="132"/>
      <c r="AC1009" s="129"/>
      <c r="AD1009" s="129"/>
      <c r="AE1009" s="132"/>
      <c r="AF1009" s="129"/>
      <c r="AG1009" s="129"/>
      <c r="AH1009" s="132"/>
      <c r="AI1009" s="129"/>
      <c r="AJ1009" s="129"/>
      <c r="AK1009" s="132"/>
      <c r="AL1009" s="129"/>
      <c r="AM1009" s="129"/>
      <c r="AN1009" s="132"/>
      <c r="AO1009" s="129"/>
      <c r="AP1009" s="129"/>
      <c r="AQ1009" s="132"/>
      <c r="AR1009" s="129"/>
      <c r="AS1009" s="129"/>
      <c r="AT1009" s="132"/>
      <c r="AU1009" s="129"/>
      <c r="AV1009" s="129"/>
      <c r="AW1009" s="132"/>
      <c r="AX1009" s="129"/>
      <c r="AY1009" s="129"/>
      <c r="AZ1009" s="132"/>
      <c r="BA1009" s="129"/>
      <c r="BB1009" s="129"/>
      <c r="BC1009" s="132"/>
      <c r="BD1009" s="129"/>
      <c r="BE1009" s="129"/>
      <c r="BF1009" s="132"/>
      <c r="BG1009" s="129"/>
      <c r="BH1009" s="129"/>
      <c r="BI1009" s="132"/>
      <c r="BJ1009" s="129"/>
      <c r="BK1009" s="129"/>
      <c r="BL1009" s="132"/>
      <c r="BM1009" s="129"/>
      <c r="BN1009" s="129"/>
      <c r="BO1009" s="132"/>
      <c r="BP1009" s="129"/>
      <c r="BQ1009" s="129"/>
      <c r="BR1009" s="132"/>
      <c r="BS1009" s="129"/>
      <c r="BT1009" s="129"/>
      <c r="BU1009" s="132"/>
      <c r="BV1009" s="129"/>
      <c r="BW1009" s="129"/>
      <c r="BX1009" s="132"/>
      <c r="BY1009" s="129"/>
      <c r="BZ1009" s="129"/>
      <c r="CA1009" s="132"/>
      <c r="CB1009" s="129"/>
      <c r="CC1009" s="129"/>
      <c r="CD1009" s="132"/>
      <c r="CE1009" s="129"/>
      <c r="CF1009" s="129"/>
      <c r="CG1009" s="132"/>
      <c r="CH1009" s="129"/>
      <c r="CI1009" s="129"/>
      <c r="CJ1009" s="132"/>
      <c r="CK1009" s="129"/>
      <c r="CL1009" s="129"/>
      <c r="CM1009" s="132"/>
      <c r="CN1009" s="129"/>
      <c r="CO1009" s="129"/>
      <c r="CP1009" s="132"/>
      <c r="CQ1009" s="129"/>
      <c r="CR1009" s="129"/>
      <c r="CS1009" s="132"/>
      <c r="CT1009" s="129"/>
      <c r="CU1009" s="129"/>
      <c r="CV1009" s="132"/>
      <c r="CW1009" s="129"/>
      <c r="CX1009" s="129"/>
      <c r="CY1009" s="132"/>
      <c r="CZ1009" s="129"/>
      <c r="DA1009" s="129"/>
      <c r="DB1009" s="132"/>
      <c r="DC1009" s="129"/>
      <c r="DD1009" s="129"/>
      <c r="DE1009" s="132"/>
      <c r="DF1009" s="129"/>
      <c r="DG1009" s="129"/>
      <c r="DH1009" s="132"/>
      <c r="DI1009" s="129"/>
      <c r="DJ1009" s="129"/>
      <c r="DK1009" s="132"/>
      <c r="DL1009" s="129"/>
      <c r="DM1009" s="129"/>
      <c r="DN1009" s="132"/>
      <c r="DO1009" s="129"/>
      <c r="DP1009" s="129"/>
      <c r="DQ1009" s="132"/>
      <c r="DR1009" s="129"/>
      <c r="DS1009" s="129"/>
      <c r="DT1009" s="132"/>
      <c r="DU1009" s="129"/>
      <c r="DV1009" s="129"/>
      <c r="DW1009" s="132"/>
      <c r="DX1009" s="129"/>
      <c r="DY1009" s="129"/>
      <c r="DZ1009" s="132"/>
      <c r="EA1009" s="129"/>
      <c r="EB1009" s="129"/>
      <c r="EC1009" s="132"/>
      <c r="ED1009" s="129"/>
      <c r="EE1009" s="129"/>
      <c r="EF1009" s="132"/>
      <c r="EG1009" s="129"/>
      <c r="EH1009" s="129"/>
      <c r="EI1009" s="132"/>
      <c r="EJ1009" s="129"/>
      <c r="EK1009" s="129"/>
      <c r="EL1009" s="132"/>
      <c r="EM1009" s="129"/>
      <c r="EN1009" s="129"/>
      <c r="EO1009" s="132"/>
      <c r="EP1009" s="129"/>
      <c r="EQ1009" s="129"/>
      <c r="ER1009" s="132"/>
      <c r="ES1009" s="129"/>
      <c r="ET1009" s="129"/>
      <c r="EU1009" s="132"/>
      <c r="EV1009" s="129"/>
      <c r="EW1009" s="129"/>
      <c r="EX1009" s="132"/>
      <c r="EY1009" s="129"/>
      <c r="EZ1009" s="129"/>
      <c r="FA1009" s="132"/>
      <c r="FB1009" s="129"/>
      <c r="FC1009" s="129"/>
      <c r="FD1009" s="132"/>
      <c r="FE1009" s="129"/>
      <c r="FF1009" s="129"/>
      <c r="FG1009" s="132"/>
      <c r="FH1009" s="129"/>
      <c r="FI1009" s="129"/>
      <c r="FJ1009" s="132"/>
      <c r="FK1009" s="129"/>
      <c r="FL1009" s="129"/>
      <c r="FM1009" s="132"/>
      <c r="FN1009" s="129"/>
      <c r="FO1009" s="129"/>
      <c r="FP1009" s="132"/>
      <c r="FQ1009" s="129"/>
      <c r="FR1009" s="129"/>
      <c r="FS1009" s="132"/>
      <c r="FT1009" s="129"/>
      <c r="FU1009" s="129"/>
      <c r="FV1009" s="132"/>
      <c r="FW1009" s="129"/>
      <c r="FX1009" s="129"/>
      <c r="FY1009" s="132"/>
      <c r="FZ1009" s="129"/>
      <c r="GA1009" s="129"/>
      <c r="GB1009" s="132"/>
      <c r="GC1009" s="129"/>
      <c r="GD1009" s="129"/>
      <c r="GE1009" s="132"/>
      <c r="GF1009" s="129"/>
      <c r="GG1009" s="129"/>
      <c r="GH1009" s="132"/>
      <c r="GI1009" s="129"/>
      <c r="GJ1009" s="129"/>
      <c r="GK1009" s="132"/>
      <c r="GL1009" s="129"/>
      <c r="GM1009" s="129"/>
      <c r="GN1009" s="132"/>
      <c r="GO1009" s="129"/>
      <c r="GP1009" s="129"/>
      <c r="GQ1009" s="132"/>
      <c r="GR1009" s="129"/>
      <c r="GS1009" s="129"/>
      <c r="GT1009" s="132"/>
      <c r="GU1009" s="129"/>
      <c r="GV1009" s="129"/>
      <c r="GW1009" s="132"/>
      <c r="GX1009" s="129"/>
      <c r="GY1009" s="129"/>
      <c r="GZ1009" s="132"/>
      <c r="HA1009" s="129"/>
      <c r="HB1009" s="129"/>
      <c r="HC1009" s="132"/>
      <c r="HD1009" s="129"/>
      <c r="HE1009" s="129"/>
      <c r="HF1009" s="132"/>
      <c r="HG1009" s="129"/>
      <c r="HH1009" s="129"/>
      <c r="HI1009" s="132"/>
      <c r="HJ1009" s="129"/>
      <c r="HK1009" s="129"/>
      <c r="HL1009" s="132"/>
      <c r="HM1009" s="129"/>
      <c r="HN1009" s="129"/>
      <c r="HO1009" s="132"/>
      <c r="HP1009" s="129"/>
      <c r="HQ1009" s="129"/>
      <c r="HR1009" s="132"/>
      <c r="HS1009" s="129"/>
      <c r="HT1009" s="129"/>
      <c r="HU1009" s="132"/>
      <c r="HV1009" s="129"/>
      <c r="HW1009" s="129"/>
      <c r="HX1009" s="132"/>
      <c r="HY1009" s="129"/>
      <c r="HZ1009" s="129"/>
      <c r="IA1009" s="132"/>
      <c r="IB1009" s="129"/>
      <c r="IC1009" s="129"/>
      <c r="ID1009" s="132"/>
      <c r="IE1009" s="129"/>
      <c r="IF1009" s="129"/>
      <c r="IG1009" s="132"/>
      <c r="IH1009" s="129"/>
      <c r="II1009" s="129"/>
      <c r="IJ1009" s="132"/>
      <c r="IK1009" s="129"/>
      <c r="IL1009" s="129"/>
      <c r="IM1009" s="132"/>
      <c r="IN1009" s="129"/>
      <c r="IO1009" s="129"/>
      <c r="IP1009" s="132"/>
      <c r="IQ1009" s="129"/>
      <c r="IR1009" s="129"/>
      <c r="IS1009" s="132"/>
      <c r="IT1009" s="129"/>
      <c r="IU1009" s="129"/>
      <c r="IV1009" s="132"/>
    </row>
    <row r="1010" spans="1:256" ht="15.75">
      <c r="A1010" s="132"/>
      <c r="B1010" s="118"/>
      <c r="C1010" s="132"/>
      <c r="D1010" s="129"/>
      <c r="E1010" s="129"/>
      <c r="F1010" s="130"/>
      <c r="G1010" s="399"/>
      <c r="H1010" s="120"/>
      <c r="I1010" s="417"/>
      <c r="J1010" s="120"/>
      <c r="K1010" s="404"/>
      <c r="L1010" s="120"/>
      <c r="M1010" s="120"/>
      <c r="N1010" s="120">
        <f t="shared" si="318"/>
        <v>0</v>
      </c>
      <c r="O1010" s="404"/>
      <c r="P1010" s="127"/>
      <c r="Q1010" s="129"/>
      <c r="R1010" s="129"/>
      <c r="S1010" s="132"/>
      <c r="T1010" s="129"/>
      <c r="U1010" s="129"/>
      <c r="V1010" s="132"/>
      <c r="W1010" s="129"/>
      <c r="X1010" s="129"/>
      <c r="Y1010" s="132"/>
      <c r="Z1010" s="129"/>
      <c r="AA1010" s="129"/>
      <c r="AB1010" s="132"/>
      <c r="AC1010" s="129"/>
      <c r="AD1010" s="129"/>
      <c r="AE1010" s="132"/>
      <c r="AF1010" s="129"/>
      <c r="AG1010" s="129"/>
      <c r="AH1010" s="132"/>
      <c r="AI1010" s="129"/>
      <c r="AJ1010" s="129"/>
      <c r="AK1010" s="132"/>
      <c r="AL1010" s="129"/>
      <c r="AM1010" s="129"/>
      <c r="AN1010" s="132"/>
      <c r="AO1010" s="129"/>
      <c r="AP1010" s="129"/>
      <c r="AQ1010" s="132"/>
      <c r="AR1010" s="129"/>
      <c r="AS1010" s="129"/>
      <c r="AT1010" s="132"/>
      <c r="AU1010" s="129"/>
      <c r="AV1010" s="129"/>
      <c r="AW1010" s="132"/>
      <c r="AX1010" s="129"/>
      <c r="AY1010" s="129"/>
      <c r="AZ1010" s="132"/>
      <c r="BA1010" s="129"/>
      <c r="BB1010" s="129"/>
      <c r="BC1010" s="132"/>
      <c r="BD1010" s="129"/>
      <c r="BE1010" s="129"/>
      <c r="BF1010" s="132"/>
      <c r="BG1010" s="129"/>
      <c r="BH1010" s="129"/>
      <c r="BI1010" s="132"/>
      <c r="BJ1010" s="129"/>
      <c r="BK1010" s="129"/>
      <c r="BL1010" s="132"/>
      <c r="BM1010" s="129"/>
      <c r="BN1010" s="129"/>
      <c r="BO1010" s="132"/>
      <c r="BP1010" s="129"/>
      <c r="BQ1010" s="129"/>
      <c r="BR1010" s="132"/>
      <c r="BS1010" s="129"/>
      <c r="BT1010" s="129"/>
      <c r="BU1010" s="132"/>
      <c r="BV1010" s="129"/>
      <c r="BW1010" s="129"/>
      <c r="BX1010" s="132"/>
      <c r="BY1010" s="129"/>
      <c r="BZ1010" s="129"/>
      <c r="CA1010" s="132"/>
      <c r="CB1010" s="129"/>
      <c r="CC1010" s="129"/>
      <c r="CD1010" s="132"/>
      <c r="CE1010" s="129"/>
      <c r="CF1010" s="129"/>
      <c r="CG1010" s="132"/>
      <c r="CH1010" s="129"/>
      <c r="CI1010" s="129"/>
      <c r="CJ1010" s="132"/>
      <c r="CK1010" s="129"/>
      <c r="CL1010" s="129"/>
      <c r="CM1010" s="132"/>
      <c r="CN1010" s="129"/>
      <c r="CO1010" s="129"/>
      <c r="CP1010" s="132"/>
      <c r="CQ1010" s="129"/>
      <c r="CR1010" s="129"/>
      <c r="CS1010" s="132"/>
      <c r="CT1010" s="129"/>
      <c r="CU1010" s="129"/>
      <c r="CV1010" s="132"/>
      <c r="CW1010" s="129"/>
      <c r="CX1010" s="129"/>
      <c r="CY1010" s="132"/>
      <c r="CZ1010" s="129"/>
      <c r="DA1010" s="129"/>
      <c r="DB1010" s="132"/>
      <c r="DC1010" s="129"/>
      <c r="DD1010" s="129"/>
      <c r="DE1010" s="132"/>
      <c r="DF1010" s="129"/>
      <c r="DG1010" s="129"/>
      <c r="DH1010" s="132"/>
      <c r="DI1010" s="129"/>
      <c r="DJ1010" s="129"/>
      <c r="DK1010" s="132"/>
      <c r="DL1010" s="129"/>
      <c r="DM1010" s="129"/>
      <c r="DN1010" s="132"/>
      <c r="DO1010" s="129"/>
      <c r="DP1010" s="129"/>
      <c r="DQ1010" s="132"/>
      <c r="DR1010" s="129"/>
      <c r="DS1010" s="129"/>
      <c r="DT1010" s="132"/>
      <c r="DU1010" s="129"/>
      <c r="DV1010" s="129"/>
      <c r="DW1010" s="132"/>
      <c r="DX1010" s="129"/>
      <c r="DY1010" s="129"/>
      <c r="DZ1010" s="132"/>
      <c r="EA1010" s="129"/>
      <c r="EB1010" s="129"/>
      <c r="EC1010" s="132"/>
      <c r="ED1010" s="129"/>
      <c r="EE1010" s="129"/>
      <c r="EF1010" s="132"/>
      <c r="EG1010" s="129"/>
      <c r="EH1010" s="129"/>
      <c r="EI1010" s="132"/>
      <c r="EJ1010" s="129"/>
      <c r="EK1010" s="129"/>
      <c r="EL1010" s="132"/>
      <c r="EM1010" s="129"/>
      <c r="EN1010" s="129"/>
      <c r="EO1010" s="132"/>
      <c r="EP1010" s="129"/>
      <c r="EQ1010" s="129"/>
      <c r="ER1010" s="132"/>
      <c r="ES1010" s="129"/>
      <c r="ET1010" s="129"/>
      <c r="EU1010" s="132"/>
      <c r="EV1010" s="129"/>
      <c r="EW1010" s="129"/>
      <c r="EX1010" s="132"/>
      <c r="EY1010" s="129"/>
      <c r="EZ1010" s="129"/>
      <c r="FA1010" s="132"/>
      <c r="FB1010" s="129"/>
      <c r="FC1010" s="129"/>
      <c r="FD1010" s="132"/>
      <c r="FE1010" s="129"/>
      <c r="FF1010" s="129"/>
      <c r="FG1010" s="132"/>
      <c r="FH1010" s="129"/>
      <c r="FI1010" s="129"/>
      <c r="FJ1010" s="132"/>
      <c r="FK1010" s="129"/>
      <c r="FL1010" s="129"/>
      <c r="FM1010" s="132"/>
      <c r="FN1010" s="129"/>
      <c r="FO1010" s="129"/>
      <c r="FP1010" s="132"/>
      <c r="FQ1010" s="129"/>
      <c r="FR1010" s="129"/>
      <c r="FS1010" s="132"/>
      <c r="FT1010" s="129"/>
      <c r="FU1010" s="129"/>
      <c r="FV1010" s="132"/>
      <c r="FW1010" s="129"/>
      <c r="FX1010" s="129"/>
      <c r="FY1010" s="132"/>
      <c r="FZ1010" s="129"/>
      <c r="GA1010" s="129"/>
      <c r="GB1010" s="132"/>
      <c r="GC1010" s="129"/>
      <c r="GD1010" s="129"/>
      <c r="GE1010" s="132"/>
      <c r="GF1010" s="129"/>
      <c r="GG1010" s="129"/>
      <c r="GH1010" s="132"/>
      <c r="GI1010" s="129"/>
      <c r="GJ1010" s="129"/>
      <c r="GK1010" s="132"/>
      <c r="GL1010" s="129"/>
      <c r="GM1010" s="129"/>
      <c r="GN1010" s="132"/>
      <c r="GO1010" s="129"/>
      <c r="GP1010" s="129"/>
      <c r="GQ1010" s="132"/>
      <c r="GR1010" s="129"/>
      <c r="GS1010" s="129"/>
      <c r="GT1010" s="132"/>
      <c r="GU1010" s="129"/>
      <c r="GV1010" s="129"/>
      <c r="GW1010" s="132"/>
      <c r="GX1010" s="129"/>
      <c r="GY1010" s="129"/>
      <c r="GZ1010" s="132"/>
      <c r="HA1010" s="129"/>
      <c r="HB1010" s="129"/>
      <c r="HC1010" s="132"/>
      <c r="HD1010" s="129"/>
      <c r="HE1010" s="129"/>
      <c r="HF1010" s="132"/>
      <c r="HG1010" s="129"/>
      <c r="HH1010" s="129"/>
      <c r="HI1010" s="132"/>
      <c r="HJ1010" s="129"/>
      <c r="HK1010" s="129"/>
      <c r="HL1010" s="132"/>
      <c r="HM1010" s="129"/>
      <c r="HN1010" s="129"/>
      <c r="HO1010" s="132"/>
      <c r="HP1010" s="129"/>
      <c r="HQ1010" s="129"/>
      <c r="HR1010" s="132"/>
      <c r="HS1010" s="129"/>
      <c r="HT1010" s="129"/>
      <c r="HU1010" s="132"/>
      <c r="HV1010" s="129"/>
      <c r="HW1010" s="129"/>
      <c r="HX1010" s="132"/>
      <c r="HY1010" s="129"/>
      <c r="HZ1010" s="129"/>
      <c r="IA1010" s="132"/>
      <c r="IB1010" s="129"/>
      <c r="IC1010" s="129"/>
      <c r="ID1010" s="132"/>
      <c r="IE1010" s="129"/>
      <c r="IF1010" s="129"/>
      <c r="IG1010" s="132"/>
      <c r="IH1010" s="129"/>
      <c r="II1010" s="129"/>
      <c r="IJ1010" s="132"/>
      <c r="IK1010" s="129"/>
      <c r="IL1010" s="129"/>
      <c r="IM1010" s="132"/>
      <c r="IN1010" s="129"/>
      <c r="IO1010" s="129"/>
      <c r="IP1010" s="132"/>
      <c r="IQ1010" s="129"/>
      <c r="IR1010" s="129"/>
      <c r="IS1010" s="132"/>
      <c r="IT1010" s="129"/>
      <c r="IU1010" s="129"/>
      <c r="IV1010" s="132"/>
    </row>
    <row r="1011" spans="1:256" ht="15.75">
      <c r="A1011" s="156"/>
      <c r="B1011" s="147" t="s">
        <v>828</v>
      </c>
      <c r="C1011" s="132" t="s">
        <v>821</v>
      </c>
      <c r="D1011" s="129"/>
      <c r="E1011" s="129"/>
      <c r="F1011" s="130"/>
      <c r="G1011" s="399" t="s">
        <v>684</v>
      </c>
      <c r="H1011" s="120">
        <v>615.26</v>
      </c>
      <c r="I1011" s="417">
        <v>100</v>
      </c>
      <c r="J1011" s="120">
        <f>156+46</f>
        <v>202</v>
      </c>
      <c r="K1011" s="404">
        <v>0</v>
      </c>
      <c r="L1011" s="120">
        <f>J1011+K1011</f>
        <v>202</v>
      </c>
      <c r="M1011" s="120">
        <f>H1011*I1011</f>
        <v>61526</v>
      </c>
      <c r="N1011" s="120">
        <f t="shared" si="318"/>
        <v>124282.52</v>
      </c>
      <c r="O1011" s="404">
        <f>H1011*K1011</f>
        <v>0</v>
      </c>
      <c r="P1011" s="127">
        <f>H1011*L1011</f>
        <v>124282.52</v>
      </c>
      <c r="Q1011" s="159"/>
      <c r="R1011" s="159"/>
      <c r="S1011" s="156"/>
      <c r="T1011" s="159"/>
      <c r="U1011" s="159"/>
      <c r="V1011" s="156"/>
      <c r="W1011" s="159"/>
      <c r="X1011" s="159"/>
      <c r="Y1011" s="156"/>
      <c r="Z1011" s="159"/>
      <c r="AA1011" s="159"/>
      <c r="AB1011" s="156"/>
      <c r="AC1011" s="159"/>
      <c r="AD1011" s="159"/>
      <c r="AE1011" s="156"/>
      <c r="AF1011" s="159"/>
      <c r="AG1011" s="159"/>
      <c r="AH1011" s="156"/>
      <c r="AI1011" s="159"/>
      <c r="AJ1011" s="159"/>
      <c r="AK1011" s="156"/>
      <c r="AL1011" s="159"/>
      <c r="AM1011" s="159"/>
      <c r="AN1011" s="156"/>
      <c r="AO1011" s="159"/>
      <c r="AP1011" s="159"/>
      <c r="AQ1011" s="156"/>
      <c r="AR1011" s="159"/>
      <c r="AS1011" s="159"/>
      <c r="AT1011" s="156"/>
      <c r="AU1011" s="159"/>
      <c r="AV1011" s="159"/>
      <c r="AW1011" s="156"/>
      <c r="AX1011" s="159"/>
      <c r="AY1011" s="159"/>
      <c r="AZ1011" s="156"/>
      <c r="BA1011" s="159"/>
      <c r="BB1011" s="159"/>
      <c r="BC1011" s="156"/>
      <c r="BD1011" s="159"/>
      <c r="BE1011" s="159"/>
      <c r="BF1011" s="156"/>
      <c r="BG1011" s="159"/>
      <c r="BH1011" s="159"/>
      <c r="BI1011" s="156"/>
      <c r="BJ1011" s="159"/>
      <c r="BK1011" s="159"/>
      <c r="BL1011" s="156"/>
      <c r="BM1011" s="159"/>
      <c r="BN1011" s="159"/>
      <c r="BO1011" s="156"/>
      <c r="BP1011" s="159"/>
      <c r="BQ1011" s="159"/>
      <c r="BR1011" s="156"/>
      <c r="BS1011" s="159"/>
      <c r="BT1011" s="159"/>
      <c r="BU1011" s="156"/>
      <c r="BV1011" s="159"/>
      <c r="BW1011" s="159"/>
      <c r="BX1011" s="156"/>
      <c r="BY1011" s="159"/>
      <c r="BZ1011" s="159"/>
      <c r="CA1011" s="156"/>
      <c r="CB1011" s="159"/>
      <c r="CC1011" s="159"/>
      <c r="CD1011" s="156"/>
      <c r="CE1011" s="159"/>
      <c r="CF1011" s="159"/>
      <c r="CG1011" s="156"/>
      <c r="CH1011" s="159"/>
      <c r="CI1011" s="159"/>
      <c r="CJ1011" s="156"/>
      <c r="CK1011" s="159"/>
      <c r="CL1011" s="159"/>
      <c r="CM1011" s="156"/>
      <c r="CN1011" s="159"/>
      <c r="CO1011" s="159"/>
      <c r="CP1011" s="156"/>
      <c r="CQ1011" s="159"/>
      <c r="CR1011" s="159"/>
      <c r="CS1011" s="156"/>
      <c r="CT1011" s="159"/>
      <c r="CU1011" s="159"/>
      <c r="CV1011" s="156"/>
      <c r="CW1011" s="159"/>
      <c r="CX1011" s="159"/>
      <c r="CY1011" s="156"/>
      <c r="CZ1011" s="159"/>
      <c r="DA1011" s="159"/>
      <c r="DB1011" s="156"/>
      <c r="DC1011" s="159"/>
      <c r="DD1011" s="159"/>
      <c r="DE1011" s="156"/>
      <c r="DF1011" s="159"/>
      <c r="DG1011" s="159"/>
      <c r="DH1011" s="156"/>
      <c r="DI1011" s="159"/>
      <c r="DJ1011" s="159"/>
      <c r="DK1011" s="156"/>
      <c r="DL1011" s="159"/>
      <c r="DM1011" s="159"/>
      <c r="DN1011" s="156"/>
      <c r="DO1011" s="159"/>
      <c r="DP1011" s="159"/>
      <c r="DQ1011" s="156"/>
      <c r="DR1011" s="159"/>
      <c r="DS1011" s="159"/>
      <c r="DT1011" s="156"/>
      <c r="DU1011" s="159"/>
      <c r="DV1011" s="159"/>
      <c r="DW1011" s="156"/>
      <c r="DX1011" s="159"/>
      <c r="DY1011" s="159"/>
      <c r="DZ1011" s="156"/>
      <c r="EA1011" s="159"/>
      <c r="EB1011" s="159"/>
      <c r="EC1011" s="156"/>
      <c r="ED1011" s="159"/>
      <c r="EE1011" s="159"/>
      <c r="EF1011" s="156"/>
      <c r="EG1011" s="159"/>
      <c r="EH1011" s="159"/>
      <c r="EI1011" s="156"/>
      <c r="EJ1011" s="159"/>
      <c r="EK1011" s="159"/>
      <c r="EL1011" s="156"/>
      <c r="EM1011" s="159"/>
      <c r="EN1011" s="159"/>
      <c r="EO1011" s="156"/>
      <c r="EP1011" s="159"/>
      <c r="EQ1011" s="159"/>
      <c r="ER1011" s="156"/>
      <c r="ES1011" s="159"/>
      <c r="ET1011" s="159"/>
      <c r="EU1011" s="156"/>
      <c r="EV1011" s="159"/>
      <c r="EW1011" s="159"/>
      <c r="EX1011" s="156"/>
      <c r="EY1011" s="159"/>
      <c r="EZ1011" s="159"/>
      <c r="FA1011" s="156"/>
      <c r="FB1011" s="159"/>
      <c r="FC1011" s="159"/>
      <c r="FD1011" s="156"/>
      <c r="FE1011" s="159"/>
      <c r="FF1011" s="159"/>
      <c r="FG1011" s="156"/>
      <c r="FH1011" s="159"/>
      <c r="FI1011" s="159"/>
      <c r="FJ1011" s="156"/>
      <c r="FK1011" s="159"/>
      <c r="FL1011" s="159"/>
      <c r="FM1011" s="156"/>
      <c r="FN1011" s="159"/>
      <c r="FO1011" s="159"/>
      <c r="FP1011" s="156"/>
      <c r="FQ1011" s="159"/>
      <c r="FR1011" s="159"/>
      <c r="FS1011" s="156"/>
      <c r="FT1011" s="159"/>
      <c r="FU1011" s="159"/>
      <c r="FV1011" s="156"/>
      <c r="FW1011" s="159"/>
      <c r="FX1011" s="159"/>
      <c r="FY1011" s="156"/>
      <c r="FZ1011" s="159"/>
      <c r="GA1011" s="159"/>
      <c r="GB1011" s="156"/>
      <c r="GC1011" s="159"/>
      <c r="GD1011" s="159"/>
      <c r="GE1011" s="156"/>
      <c r="GF1011" s="159"/>
      <c r="GG1011" s="159"/>
      <c r="GH1011" s="156"/>
      <c r="GI1011" s="159"/>
      <c r="GJ1011" s="159"/>
      <c r="GK1011" s="156"/>
      <c r="GL1011" s="159"/>
      <c r="GM1011" s="159"/>
      <c r="GN1011" s="156"/>
      <c r="GO1011" s="159"/>
      <c r="GP1011" s="159"/>
      <c r="GQ1011" s="156"/>
      <c r="GR1011" s="159"/>
      <c r="GS1011" s="159"/>
      <c r="GT1011" s="156"/>
      <c r="GU1011" s="159"/>
      <c r="GV1011" s="159"/>
      <c r="GW1011" s="156"/>
      <c r="GX1011" s="159"/>
      <c r="GY1011" s="159"/>
      <c r="GZ1011" s="156"/>
      <c r="HA1011" s="159"/>
      <c r="HB1011" s="159"/>
      <c r="HC1011" s="156"/>
      <c r="HD1011" s="159"/>
      <c r="HE1011" s="159"/>
      <c r="HF1011" s="156"/>
      <c r="HG1011" s="159"/>
      <c r="HH1011" s="159"/>
      <c r="HI1011" s="156"/>
      <c r="HJ1011" s="159"/>
      <c r="HK1011" s="159"/>
      <c r="HL1011" s="156"/>
      <c r="HM1011" s="159"/>
      <c r="HN1011" s="159"/>
      <c r="HO1011" s="156"/>
      <c r="HP1011" s="159"/>
      <c r="HQ1011" s="159"/>
      <c r="HR1011" s="156"/>
      <c r="HS1011" s="159"/>
      <c r="HT1011" s="159"/>
      <c r="HU1011" s="156"/>
      <c r="HV1011" s="159"/>
      <c r="HW1011" s="159"/>
      <c r="HX1011" s="156"/>
      <c r="HY1011" s="159"/>
      <c r="HZ1011" s="159"/>
      <c r="IA1011" s="156"/>
      <c r="IB1011" s="159"/>
      <c r="IC1011" s="159"/>
      <c r="ID1011" s="156"/>
      <c r="IE1011" s="159"/>
      <c r="IF1011" s="159"/>
      <c r="IG1011" s="156"/>
      <c r="IH1011" s="159"/>
      <c r="II1011" s="159"/>
      <c r="IJ1011" s="156"/>
      <c r="IK1011" s="159"/>
      <c r="IL1011" s="159"/>
      <c r="IM1011" s="156"/>
      <c r="IN1011" s="159"/>
      <c r="IO1011" s="159"/>
      <c r="IP1011" s="156"/>
      <c r="IQ1011" s="159"/>
      <c r="IR1011" s="159"/>
      <c r="IS1011" s="156"/>
      <c r="IT1011" s="159"/>
      <c r="IU1011" s="159"/>
      <c r="IV1011" s="156"/>
    </row>
    <row r="1012" spans="1:256" ht="15.75">
      <c r="A1012" s="132"/>
      <c r="B1012" s="118"/>
      <c r="C1012" s="132"/>
      <c r="D1012" s="129"/>
      <c r="E1012" s="129"/>
      <c r="F1012" s="130"/>
      <c r="G1012" s="399"/>
      <c r="H1012" s="120"/>
      <c r="I1012" s="417"/>
      <c r="J1012" s="120"/>
      <c r="K1012" s="404"/>
      <c r="L1012" s="120">
        <f>J1012+K1012</f>
        <v>0</v>
      </c>
      <c r="M1012" s="120">
        <f>H1012*I1012</f>
        <v>0</v>
      </c>
      <c r="N1012" s="120">
        <f t="shared" si="318"/>
        <v>0</v>
      </c>
      <c r="O1012" s="404">
        <f>H1012*K1012</f>
        <v>0</v>
      </c>
      <c r="P1012" s="127">
        <f>H1012*L1012</f>
        <v>0</v>
      </c>
      <c r="Q1012" s="129"/>
      <c r="R1012" s="129"/>
      <c r="S1012" s="132"/>
      <c r="T1012" s="129"/>
      <c r="U1012" s="129"/>
      <c r="V1012" s="132"/>
      <c r="W1012" s="129"/>
      <c r="X1012" s="129"/>
      <c r="Y1012" s="132"/>
      <c r="Z1012" s="129"/>
      <c r="AA1012" s="129"/>
      <c r="AB1012" s="132"/>
      <c r="AC1012" s="129"/>
      <c r="AD1012" s="129"/>
      <c r="AE1012" s="132"/>
      <c r="AF1012" s="129"/>
      <c r="AG1012" s="129"/>
      <c r="AH1012" s="132"/>
      <c r="AI1012" s="129"/>
      <c r="AJ1012" s="129"/>
      <c r="AK1012" s="132"/>
      <c r="AL1012" s="129"/>
      <c r="AM1012" s="129"/>
      <c r="AN1012" s="132"/>
      <c r="AO1012" s="129"/>
      <c r="AP1012" s="129"/>
      <c r="AQ1012" s="132"/>
      <c r="AR1012" s="129"/>
      <c r="AS1012" s="129"/>
      <c r="AT1012" s="132"/>
      <c r="AU1012" s="129"/>
      <c r="AV1012" s="129"/>
      <c r="AW1012" s="132"/>
      <c r="AX1012" s="129"/>
      <c r="AY1012" s="129"/>
      <c r="AZ1012" s="132"/>
      <c r="BA1012" s="129"/>
      <c r="BB1012" s="129"/>
      <c r="BC1012" s="132"/>
      <c r="BD1012" s="129"/>
      <c r="BE1012" s="129"/>
      <c r="BF1012" s="132"/>
      <c r="BG1012" s="129"/>
      <c r="BH1012" s="129"/>
      <c r="BI1012" s="132"/>
      <c r="BJ1012" s="129"/>
      <c r="BK1012" s="129"/>
      <c r="BL1012" s="132"/>
      <c r="BM1012" s="129"/>
      <c r="BN1012" s="129"/>
      <c r="BO1012" s="132"/>
      <c r="BP1012" s="129"/>
      <c r="BQ1012" s="129"/>
      <c r="BR1012" s="132"/>
      <c r="BS1012" s="129"/>
      <c r="BT1012" s="129"/>
      <c r="BU1012" s="132"/>
      <c r="BV1012" s="129"/>
      <c r="BW1012" s="129"/>
      <c r="BX1012" s="132"/>
      <c r="BY1012" s="129"/>
      <c r="BZ1012" s="129"/>
      <c r="CA1012" s="132"/>
      <c r="CB1012" s="129"/>
      <c r="CC1012" s="129"/>
      <c r="CD1012" s="132"/>
      <c r="CE1012" s="129"/>
      <c r="CF1012" s="129"/>
      <c r="CG1012" s="132"/>
      <c r="CH1012" s="129"/>
      <c r="CI1012" s="129"/>
      <c r="CJ1012" s="132"/>
      <c r="CK1012" s="129"/>
      <c r="CL1012" s="129"/>
      <c r="CM1012" s="132"/>
      <c r="CN1012" s="129"/>
      <c r="CO1012" s="129"/>
      <c r="CP1012" s="132"/>
      <c r="CQ1012" s="129"/>
      <c r="CR1012" s="129"/>
      <c r="CS1012" s="132"/>
      <c r="CT1012" s="129"/>
      <c r="CU1012" s="129"/>
      <c r="CV1012" s="132"/>
      <c r="CW1012" s="129"/>
      <c r="CX1012" s="129"/>
      <c r="CY1012" s="132"/>
      <c r="CZ1012" s="129"/>
      <c r="DA1012" s="129"/>
      <c r="DB1012" s="132"/>
      <c r="DC1012" s="129"/>
      <c r="DD1012" s="129"/>
      <c r="DE1012" s="132"/>
      <c r="DF1012" s="129"/>
      <c r="DG1012" s="129"/>
      <c r="DH1012" s="132"/>
      <c r="DI1012" s="129"/>
      <c r="DJ1012" s="129"/>
      <c r="DK1012" s="132"/>
      <c r="DL1012" s="129"/>
      <c r="DM1012" s="129"/>
      <c r="DN1012" s="132"/>
      <c r="DO1012" s="129"/>
      <c r="DP1012" s="129"/>
      <c r="DQ1012" s="132"/>
      <c r="DR1012" s="129"/>
      <c r="DS1012" s="129"/>
      <c r="DT1012" s="132"/>
      <c r="DU1012" s="129"/>
      <c r="DV1012" s="129"/>
      <c r="DW1012" s="132"/>
      <c r="DX1012" s="129"/>
      <c r="DY1012" s="129"/>
      <c r="DZ1012" s="132"/>
      <c r="EA1012" s="129"/>
      <c r="EB1012" s="129"/>
      <c r="EC1012" s="132"/>
      <c r="ED1012" s="129"/>
      <c r="EE1012" s="129"/>
      <c r="EF1012" s="132"/>
      <c r="EG1012" s="129"/>
      <c r="EH1012" s="129"/>
      <c r="EI1012" s="132"/>
      <c r="EJ1012" s="129"/>
      <c r="EK1012" s="129"/>
      <c r="EL1012" s="132"/>
      <c r="EM1012" s="129"/>
      <c r="EN1012" s="129"/>
      <c r="EO1012" s="132"/>
      <c r="EP1012" s="129"/>
      <c r="EQ1012" s="129"/>
      <c r="ER1012" s="132"/>
      <c r="ES1012" s="129"/>
      <c r="ET1012" s="129"/>
      <c r="EU1012" s="132"/>
      <c r="EV1012" s="129"/>
      <c r="EW1012" s="129"/>
      <c r="EX1012" s="132"/>
      <c r="EY1012" s="129"/>
      <c r="EZ1012" s="129"/>
      <c r="FA1012" s="132"/>
      <c r="FB1012" s="129"/>
      <c r="FC1012" s="129"/>
      <c r="FD1012" s="132"/>
      <c r="FE1012" s="129"/>
      <c r="FF1012" s="129"/>
      <c r="FG1012" s="132"/>
      <c r="FH1012" s="129"/>
      <c r="FI1012" s="129"/>
      <c r="FJ1012" s="132"/>
      <c r="FK1012" s="129"/>
      <c r="FL1012" s="129"/>
      <c r="FM1012" s="132"/>
      <c r="FN1012" s="129"/>
      <c r="FO1012" s="129"/>
      <c r="FP1012" s="132"/>
      <c r="FQ1012" s="129"/>
      <c r="FR1012" s="129"/>
      <c r="FS1012" s="132"/>
      <c r="FT1012" s="129"/>
      <c r="FU1012" s="129"/>
      <c r="FV1012" s="132"/>
      <c r="FW1012" s="129"/>
      <c r="FX1012" s="129"/>
      <c r="FY1012" s="132"/>
      <c r="FZ1012" s="129"/>
      <c r="GA1012" s="129"/>
      <c r="GB1012" s="132"/>
      <c r="GC1012" s="129"/>
      <c r="GD1012" s="129"/>
      <c r="GE1012" s="132"/>
      <c r="GF1012" s="129"/>
      <c r="GG1012" s="129"/>
      <c r="GH1012" s="132"/>
      <c r="GI1012" s="129"/>
      <c r="GJ1012" s="129"/>
      <c r="GK1012" s="132"/>
      <c r="GL1012" s="129"/>
      <c r="GM1012" s="129"/>
      <c r="GN1012" s="132"/>
      <c r="GO1012" s="129"/>
      <c r="GP1012" s="129"/>
      <c r="GQ1012" s="132"/>
      <c r="GR1012" s="129"/>
      <c r="GS1012" s="129"/>
      <c r="GT1012" s="132"/>
      <c r="GU1012" s="129"/>
      <c r="GV1012" s="129"/>
      <c r="GW1012" s="132"/>
      <c r="GX1012" s="129"/>
      <c r="GY1012" s="129"/>
      <c r="GZ1012" s="132"/>
      <c r="HA1012" s="129"/>
      <c r="HB1012" s="129"/>
      <c r="HC1012" s="132"/>
      <c r="HD1012" s="129"/>
      <c r="HE1012" s="129"/>
      <c r="HF1012" s="132"/>
      <c r="HG1012" s="129"/>
      <c r="HH1012" s="129"/>
      <c r="HI1012" s="132"/>
      <c r="HJ1012" s="129"/>
      <c r="HK1012" s="129"/>
      <c r="HL1012" s="132"/>
      <c r="HM1012" s="129"/>
      <c r="HN1012" s="129"/>
      <c r="HO1012" s="132"/>
      <c r="HP1012" s="129"/>
      <c r="HQ1012" s="129"/>
      <c r="HR1012" s="132"/>
      <c r="HS1012" s="129"/>
      <c r="HT1012" s="129"/>
      <c r="HU1012" s="132"/>
      <c r="HV1012" s="129"/>
      <c r="HW1012" s="129"/>
      <c r="HX1012" s="132"/>
      <c r="HY1012" s="129"/>
      <c r="HZ1012" s="129"/>
      <c r="IA1012" s="132"/>
      <c r="IB1012" s="129"/>
      <c r="IC1012" s="129"/>
      <c r="ID1012" s="132"/>
      <c r="IE1012" s="129"/>
      <c r="IF1012" s="129"/>
      <c r="IG1012" s="132"/>
      <c r="IH1012" s="129"/>
      <c r="II1012" s="129"/>
      <c r="IJ1012" s="132"/>
      <c r="IK1012" s="129"/>
      <c r="IL1012" s="129"/>
      <c r="IM1012" s="132"/>
      <c r="IN1012" s="129"/>
      <c r="IO1012" s="129"/>
      <c r="IP1012" s="132"/>
      <c r="IQ1012" s="129"/>
      <c r="IR1012" s="129"/>
      <c r="IS1012" s="132"/>
      <c r="IT1012" s="129"/>
      <c r="IU1012" s="129"/>
      <c r="IV1012" s="132"/>
    </row>
    <row r="1013" spans="1:256" ht="15.75">
      <c r="A1013" s="132"/>
      <c r="B1013" s="118"/>
      <c r="C1013" s="132"/>
      <c r="D1013" s="129"/>
      <c r="E1013" s="129"/>
      <c r="F1013" s="130"/>
      <c r="G1013" s="399"/>
      <c r="H1013" s="120"/>
      <c r="I1013" s="417"/>
      <c r="J1013" s="120"/>
      <c r="K1013" s="404"/>
      <c r="L1013" s="120">
        <f>J1013+K1013</f>
        <v>0</v>
      </c>
      <c r="M1013" s="120">
        <f>H1013*I1013</f>
        <v>0</v>
      </c>
      <c r="N1013" s="120">
        <f t="shared" si="318"/>
        <v>0</v>
      </c>
      <c r="O1013" s="404">
        <f>H1013*K1013</f>
        <v>0</v>
      </c>
      <c r="P1013" s="127">
        <f>H1013*L1013</f>
        <v>0</v>
      </c>
      <c r="Q1013" s="129"/>
      <c r="R1013" s="129"/>
      <c r="S1013" s="132"/>
      <c r="T1013" s="129"/>
      <c r="U1013" s="129"/>
      <c r="V1013" s="132"/>
      <c r="W1013" s="129"/>
      <c r="X1013" s="129"/>
      <c r="Y1013" s="132"/>
      <c r="Z1013" s="129"/>
      <c r="AA1013" s="129"/>
      <c r="AB1013" s="132"/>
      <c r="AC1013" s="129"/>
      <c r="AD1013" s="129"/>
      <c r="AE1013" s="132"/>
      <c r="AF1013" s="129"/>
      <c r="AG1013" s="129"/>
      <c r="AH1013" s="132"/>
      <c r="AI1013" s="129"/>
      <c r="AJ1013" s="129"/>
      <c r="AK1013" s="132"/>
      <c r="AL1013" s="129"/>
      <c r="AM1013" s="129"/>
      <c r="AN1013" s="132"/>
      <c r="AO1013" s="129"/>
      <c r="AP1013" s="129"/>
      <c r="AQ1013" s="132"/>
      <c r="AR1013" s="129"/>
      <c r="AS1013" s="129"/>
      <c r="AT1013" s="132"/>
      <c r="AU1013" s="129"/>
      <c r="AV1013" s="129"/>
      <c r="AW1013" s="132"/>
      <c r="AX1013" s="129"/>
      <c r="AY1013" s="129"/>
      <c r="AZ1013" s="132"/>
      <c r="BA1013" s="129"/>
      <c r="BB1013" s="129"/>
      <c r="BC1013" s="132"/>
      <c r="BD1013" s="129"/>
      <c r="BE1013" s="129"/>
      <c r="BF1013" s="132"/>
      <c r="BG1013" s="129"/>
      <c r="BH1013" s="129"/>
      <c r="BI1013" s="132"/>
      <c r="BJ1013" s="129"/>
      <c r="BK1013" s="129"/>
      <c r="BL1013" s="132"/>
      <c r="BM1013" s="129"/>
      <c r="BN1013" s="129"/>
      <c r="BO1013" s="132"/>
      <c r="BP1013" s="129"/>
      <c r="BQ1013" s="129"/>
      <c r="BR1013" s="132"/>
      <c r="BS1013" s="129"/>
      <c r="BT1013" s="129"/>
      <c r="BU1013" s="132"/>
      <c r="BV1013" s="129"/>
      <c r="BW1013" s="129"/>
      <c r="BX1013" s="132"/>
      <c r="BY1013" s="129"/>
      <c r="BZ1013" s="129"/>
      <c r="CA1013" s="132"/>
      <c r="CB1013" s="129"/>
      <c r="CC1013" s="129"/>
      <c r="CD1013" s="132"/>
      <c r="CE1013" s="129"/>
      <c r="CF1013" s="129"/>
      <c r="CG1013" s="132"/>
      <c r="CH1013" s="129"/>
      <c r="CI1013" s="129"/>
      <c r="CJ1013" s="132"/>
      <c r="CK1013" s="129"/>
      <c r="CL1013" s="129"/>
      <c r="CM1013" s="132"/>
      <c r="CN1013" s="129"/>
      <c r="CO1013" s="129"/>
      <c r="CP1013" s="132"/>
      <c r="CQ1013" s="129"/>
      <c r="CR1013" s="129"/>
      <c r="CS1013" s="132"/>
      <c r="CT1013" s="129"/>
      <c r="CU1013" s="129"/>
      <c r="CV1013" s="132"/>
      <c r="CW1013" s="129"/>
      <c r="CX1013" s="129"/>
      <c r="CY1013" s="132"/>
      <c r="CZ1013" s="129"/>
      <c r="DA1013" s="129"/>
      <c r="DB1013" s="132"/>
      <c r="DC1013" s="129"/>
      <c r="DD1013" s="129"/>
      <c r="DE1013" s="132"/>
      <c r="DF1013" s="129"/>
      <c r="DG1013" s="129"/>
      <c r="DH1013" s="132"/>
      <c r="DI1013" s="129"/>
      <c r="DJ1013" s="129"/>
      <c r="DK1013" s="132"/>
      <c r="DL1013" s="129"/>
      <c r="DM1013" s="129"/>
      <c r="DN1013" s="132"/>
      <c r="DO1013" s="129"/>
      <c r="DP1013" s="129"/>
      <c r="DQ1013" s="132"/>
      <c r="DR1013" s="129"/>
      <c r="DS1013" s="129"/>
      <c r="DT1013" s="132"/>
      <c r="DU1013" s="129"/>
      <c r="DV1013" s="129"/>
      <c r="DW1013" s="132"/>
      <c r="DX1013" s="129"/>
      <c r="DY1013" s="129"/>
      <c r="DZ1013" s="132"/>
      <c r="EA1013" s="129"/>
      <c r="EB1013" s="129"/>
      <c r="EC1013" s="132"/>
      <c r="ED1013" s="129"/>
      <c r="EE1013" s="129"/>
      <c r="EF1013" s="132"/>
      <c r="EG1013" s="129"/>
      <c r="EH1013" s="129"/>
      <c r="EI1013" s="132"/>
      <c r="EJ1013" s="129"/>
      <c r="EK1013" s="129"/>
      <c r="EL1013" s="132"/>
      <c r="EM1013" s="129"/>
      <c r="EN1013" s="129"/>
      <c r="EO1013" s="132"/>
      <c r="EP1013" s="129"/>
      <c r="EQ1013" s="129"/>
      <c r="ER1013" s="132"/>
      <c r="ES1013" s="129"/>
      <c r="ET1013" s="129"/>
      <c r="EU1013" s="132"/>
      <c r="EV1013" s="129"/>
      <c r="EW1013" s="129"/>
      <c r="EX1013" s="132"/>
      <c r="EY1013" s="129"/>
      <c r="EZ1013" s="129"/>
      <c r="FA1013" s="132"/>
      <c r="FB1013" s="129"/>
      <c r="FC1013" s="129"/>
      <c r="FD1013" s="132"/>
      <c r="FE1013" s="129"/>
      <c r="FF1013" s="129"/>
      <c r="FG1013" s="132"/>
      <c r="FH1013" s="129"/>
      <c r="FI1013" s="129"/>
      <c r="FJ1013" s="132"/>
      <c r="FK1013" s="129"/>
      <c r="FL1013" s="129"/>
      <c r="FM1013" s="132"/>
      <c r="FN1013" s="129"/>
      <c r="FO1013" s="129"/>
      <c r="FP1013" s="132"/>
      <c r="FQ1013" s="129"/>
      <c r="FR1013" s="129"/>
      <c r="FS1013" s="132"/>
      <c r="FT1013" s="129"/>
      <c r="FU1013" s="129"/>
      <c r="FV1013" s="132"/>
      <c r="FW1013" s="129"/>
      <c r="FX1013" s="129"/>
      <c r="FY1013" s="132"/>
      <c r="FZ1013" s="129"/>
      <c r="GA1013" s="129"/>
      <c r="GB1013" s="132"/>
      <c r="GC1013" s="129"/>
      <c r="GD1013" s="129"/>
      <c r="GE1013" s="132"/>
      <c r="GF1013" s="129"/>
      <c r="GG1013" s="129"/>
      <c r="GH1013" s="132"/>
      <c r="GI1013" s="129"/>
      <c r="GJ1013" s="129"/>
      <c r="GK1013" s="132"/>
      <c r="GL1013" s="129"/>
      <c r="GM1013" s="129"/>
      <c r="GN1013" s="132"/>
      <c r="GO1013" s="129"/>
      <c r="GP1013" s="129"/>
      <c r="GQ1013" s="132"/>
      <c r="GR1013" s="129"/>
      <c r="GS1013" s="129"/>
      <c r="GT1013" s="132"/>
      <c r="GU1013" s="129"/>
      <c r="GV1013" s="129"/>
      <c r="GW1013" s="132"/>
      <c r="GX1013" s="129"/>
      <c r="GY1013" s="129"/>
      <c r="GZ1013" s="132"/>
      <c r="HA1013" s="129"/>
      <c r="HB1013" s="129"/>
      <c r="HC1013" s="132"/>
      <c r="HD1013" s="129"/>
      <c r="HE1013" s="129"/>
      <c r="HF1013" s="132"/>
      <c r="HG1013" s="129"/>
      <c r="HH1013" s="129"/>
      <c r="HI1013" s="132"/>
      <c r="HJ1013" s="129"/>
      <c r="HK1013" s="129"/>
      <c r="HL1013" s="132"/>
      <c r="HM1013" s="129"/>
      <c r="HN1013" s="129"/>
      <c r="HO1013" s="132"/>
      <c r="HP1013" s="129"/>
      <c r="HQ1013" s="129"/>
      <c r="HR1013" s="132"/>
      <c r="HS1013" s="129"/>
      <c r="HT1013" s="129"/>
      <c r="HU1013" s="132"/>
      <c r="HV1013" s="129"/>
      <c r="HW1013" s="129"/>
      <c r="HX1013" s="132"/>
      <c r="HY1013" s="129"/>
      <c r="HZ1013" s="129"/>
      <c r="IA1013" s="132"/>
      <c r="IB1013" s="129"/>
      <c r="IC1013" s="129"/>
      <c r="ID1013" s="132"/>
      <c r="IE1013" s="129"/>
      <c r="IF1013" s="129"/>
      <c r="IG1013" s="132"/>
      <c r="IH1013" s="129"/>
      <c r="II1013" s="129"/>
      <c r="IJ1013" s="132"/>
      <c r="IK1013" s="129"/>
      <c r="IL1013" s="129"/>
      <c r="IM1013" s="132"/>
      <c r="IN1013" s="129"/>
      <c r="IO1013" s="129"/>
      <c r="IP1013" s="132"/>
      <c r="IQ1013" s="129"/>
      <c r="IR1013" s="129"/>
      <c r="IS1013" s="132"/>
      <c r="IT1013" s="129"/>
      <c r="IU1013" s="129"/>
      <c r="IV1013" s="132"/>
    </row>
    <row r="1014" spans="1:256" ht="15.75">
      <c r="A1014" s="156"/>
      <c r="B1014" s="118" t="s">
        <v>808</v>
      </c>
      <c r="C1014" s="132" t="s">
        <v>809</v>
      </c>
      <c r="D1014" s="129"/>
      <c r="E1014" s="129"/>
      <c r="F1014" s="130"/>
      <c r="G1014" s="399" t="s">
        <v>842</v>
      </c>
      <c r="H1014" s="120">
        <v>200.44</v>
      </c>
      <c r="I1014" s="417">
        <v>180</v>
      </c>
      <c r="J1014" s="120">
        <v>144</v>
      </c>
      <c r="K1014" s="404"/>
      <c r="L1014" s="120">
        <f>J1014+K1014</f>
        <v>144</v>
      </c>
      <c r="M1014" s="120">
        <f>H1014*I1014</f>
        <v>36079.199999999997</v>
      </c>
      <c r="N1014" s="120">
        <f t="shared" si="318"/>
        <v>28863.360000000001</v>
      </c>
      <c r="O1014" s="404">
        <f>H1014*K1014</f>
        <v>0</v>
      </c>
      <c r="P1014" s="127">
        <f>H1014*L1014</f>
        <v>28863.360000000001</v>
      </c>
      <c r="Q1014" s="159"/>
      <c r="R1014" s="159"/>
      <c r="S1014" s="156"/>
      <c r="T1014" s="159"/>
      <c r="U1014" s="159"/>
      <c r="V1014" s="156"/>
      <c r="W1014" s="159"/>
      <c r="X1014" s="159"/>
      <c r="Y1014" s="156"/>
      <c r="Z1014" s="159"/>
      <c r="AA1014" s="159"/>
      <c r="AB1014" s="156"/>
      <c r="AC1014" s="159"/>
      <c r="AD1014" s="159"/>
      <c r="AE1014" s="156"/>
      <c r="AF1014" s="159"/>
      <c r="AG1014" s="159"/>
      <c r="AH1014" s="156"/>
      <c r="AI1014" s="159"/>
      <c r="AJ1014" s="159"/>
      <c r="AK1014" s="156"/>
      <c r="AL1014" s="159"/>
      <c r="AM1014" s="159"/>
      <c r="AN1014" s="156"/>
      <c r="AO1014" s="159"/>
      <c r="AP1014" s="159"/>
      <c r="AQ1014" s="156"/>
      <c r="AR1014" s="159"/>
      <c r="AS1014" s="159"/>
      <c r="AT1014" s="156"/>
      <c r="AU1014" s="159"/>
      <c r="AV1014" s="159"/>
      <c r="AW1014" s="156"/>
      <c r="AX1014" s="159"/>
      <c r="AY1014" s="159"/>
      <c r="AZ1014" s="156"/>
      <c r="BA1014" s="159"/>
      <c r="BB1014" s="159"/>
      <c r="BC1014" s="156"/>
      <c r="BD1014" s="159"/>
      <c r="BE1014" s="159"/>
      <c r="BF1014" s="156"/>
      <c r="BG1014" s="159"/>
      <c r="BH1014" s="159"/>
      <c r="BI1014" s="156"/>
      <c r="BJ1014" s="159"/>
      <c r="BK1014" s="159"/>
      <c r="BL1014" s="156"/>
      <c r="BM1014" s="159"/>
      <c r="BN1014" s="159"/>
      <c r="BO1014" s="156"/>
      <c r="BP1014" s="159"/>
      <c r="BQ1014" s="159"/>
      <c r="BR1014" s="156"/>
      <c r="BS1014" s="159"/>
      <c r="BT1014" s="159"/>
      <c r="BU1014" s="156"/>
      <c r="BV1014" s="159"/>
      <c r="BW1014" s="159"/>
      <c r="BX1014" s="156"/>
      <c r="BY1014" s="159"/>
      <c r="BZ1014" s="159"/>
      <c r="CA1014" s="156"/>
      <c r="CB1014" s="159"/>
      <c r="CC1014" s="159"/>
      <c r="CD1014" s="156"/>
      <c r="CE1014" s="159"/>
      <c r="CF1014" s="159"/>
      <c r="CG1014" s="156"/>
      <c r="CH1014" s="159"/>
      <c r="CI1014" s="159"/>
      <c r="CJ1014" s="156"/>
      <c r="CK1014" s="159"/>
      <c r="CL1014" s="159"/>
      <c r="CM1014" s="156"/>
      <c r="CN1014" s="159"/>
      <c r="CO1014" s="159"/>
      <c r="CP1014" s="156"/>
      <c r="CQ1014" s="159"/>
      <c r="CR1014" s="159"/>
      <c r="CS1014" s="156"/>
      <c r="CT1014" s="159"/>
      <c r="CU1014" s="159"/>
      <c r="CV1014" s="156"/>
      <c r="CW1014" s="159"/>
      <c r="CX1014" s="159"/>
      <c r="CY1014" s="156"/>
      <c r="CZ1014" s="159"/>
      <c r="DA1014" s="159"/>
      <c r="DB1014" s="156"/>
      <c r="DC1014" s="159"/>
      <c r="DD1014" s="159"/>
      <c r="DE1014" s="156"/>
      <c r="DF1014" s="159"/>
      <c r="DG1014" s="159"/>
      <c r="DH1014" s="156"/>
      <c r="DI1014" s="159"/>
      <c r="DJ1014" s="159"/>
      <c r="DK1014" s="156"/>
      <c r="DL1014" s="159"/>
      <c r="DM1014" s="159"/>
      <c r="DN1014" s="156"/>
      <c r="DO1014" s="159"/>
      <c r="DP1014" s="159"/>
      <c r="DQ1014" s="156"/>
      <c r="DR1014" s="159"/>
      <c r="DS1014" s="159"/>
      <c r="DT1014" s="156"/>
      <c r="DU1014" s="159"/>
      <c r="DV1014" s="159"/>
      <c r="DW1014" s="156"/>
      <c r="DX1014" s="159"/>
      <c r="DY1014" s="159"/>
      <c r="DZ1014" s="156"/>
      <c r="EA1014" s="159"/>
      <c r="EB1014" s="159"/>
      <c r="EC1014" s="156"/>
      <c r="ED1014" s="159"/>
      <c r="EE1014" s="159"/>
      <c r="EF1014" s="156"/>
      <c r="EG1014" s="159"/>
      <c r="EH1014" s="159"/>
      <c r="EI1014" s="156"/>
      <c r="EJ1014" s="159"/>
      <c r="EK1014" s="159"/>
      <c r="EL1014" s="156"/>
      <c r="EM1014" s="159"/>
      <c r="EN1014" s="159"/>
      <c r="EO1014" s="156"/>
      <c r="EP1014" s="159"/>
      <c r="EQ1014" s="159"/>
      <c r="ER1014" s="156"/>
      <c r="ES1014" s="159"/>
      <c r="ET1014" s="159"/>
      <c r="EU1014" s="156"/>
      <c r="EV1014" s="159"/>
      <c r="EW1014" s="159"/>
      <c r="EX1014" s="156"/>
      <c r="EY1014" s="159"/>
      <c r="EZ1014" s="159"/>
      <c r="FA1014" s="156"/>
      <c r="FB1014" s="159"/>
      <c r="FC1014" s="159"/>
      <c r="FD1014" s="156"/>
      <c r="FE1014" s="159"/>
      <c r="FF1014" s="159"/>
      <c r="FG1014" s="156"/>
      <c r="FH1014" s="159"/>
      <c r="FI1014" s="159"/>
      <c r="FJ1014" s="156"/>
      <c r="FK1014" s="159"/>
      <c r="FL1014" s="159"/>
      <c r="FM1014" s="156"/>
      <c r="FN1014" s="159"/>
      <c r="FO1014" s="159"/>
      <c r="FP1014" s="156"/>
      <c r="FQ1014" s="159"/>
      <c r="FR1014" s="159"/>
      <c r="FS1014" s="156"/>
      <c r="FT1014" s="159"/>
      <c r="FU1014" s="159"/>
      <c r="FV1014" s="156"/>
      <c r="FW1014" s="159"/>
      <c r="FX1014" s="159"/>
      <c r="FY1014" s="156"/>
      <c r="FZ1014" s="159"/>
      <c r="GA1014" s="159"/>
      <c r="GB1014" s="156"/>
      <c r="GC1014" s="159"/>
      <c r="GD1014" s="159"/>
      <c r="GE1014" s="156"/>
      <c r="GF1014" s="159"/>
      <c r="GG1014" s="159"/>
      <c r="GH1014" s="156"/>
      <c r="GI1014" s="159"/>
      <c r="GJ1014" s="159"/>
      <c r="GK1014" s="156"/>
      <c r="GL1014" s="159"/>
      <c r="GM1014" s="159"/>
      <c r="GN1014" s="156"/>
      <c r="GO1014" s="159"/>
      <c r="GP1014" s="159"/>
      <c r="GQ1014" s="156"/>
      <c r="GR1014" s="159"/>
      <c r="GS1014" s="159"/>
      <c r="GT1014" s="156"/>
      <c r="GU1014" s="159"/>
      <c r="GV1014" s="159"/>
      <c r="GW1014" s="156"/>
      <c r="GX1014" s="159"/>
      <c r="GY1014" s="159"/>
      <c r="GZ1014" s="156"/>
      <c r="HA1014" s="159"/>
      <c r="HB1014" s="159"/>
      <c r="HC1014" s="156"/>
      <c r="HD1014" s="159"/>
      <c r="HE1014" s="159"/>
      <c r="HF1014" s="156"/>
      <c r="HG1014" s="159"/>
      <c r="HH1014" s="159"/>
      <c r="HI1014" s="156"/>
      <c r="HJ1014" s="159"/>
      <c r="HK1014" s="159"/>
      <c r="HL1014" s="156"/>
      <c r="HM1014" s="159"/>
      <c r="HN1014" s="159"/>
      <c r="HO1014" s="156"/>
      <c r="HP1014" s="159"/>
      <c r="HQ1014" s="159"/>
      <c r="HR1014" s="156"/>
      <c r="HS1014" s="159"/>
      <c r="HT1014" s="159"/>
      <c r="HU1014" s="156"/>
      <c r="HV1014" s="159"/>
      <c r="HW1014" s="159"/>
      <c r="HX1014" s="156"/>
      <c r="HY1014" s="159"/>
      <c r="HZ1014" s="159"/>
      <c r="IA1014" s="156"/>
      <c r="IB1014" s="159"/>
      <c r="IC1014" s="159"/>
      <c r="ID1014" s="156"/>
      <c r="IE1014" s="159"/>
      <c r="IF1014" s="159"/>
      <c r="IG1014" s="156"/>
      <c r="IH1014" s="159"/>
      <c r="II1014" s="159"/>
      <c r="IJ1014" s="156"/>
      <c r="IK1014" s="159"/>
      <c r="IL1014" s="159"/>
      <c r="IM1014" s="156"/>
      <c r="IN1014" s="159"/>
      <c r="IO1014" s="159"/>
      <c r="IP1014" s="156"/>
      <c r="IQ1014" s="159"/>
      <c r="IR1014" s="159"/>
      <c r="IS1014" s="156"/>
      <c r="IT1014" s="159"/>
      <c r="IU1014" s="159"/>
      <c r="IV1014" s="156"/>
    </row>
    <row r="1015" spans="1:256" ht="15.75">
      <c r="A1015" s="132"/>
      <c r="B1015" s="118"/>
      <c r="C1015" s="132"/>
      <c r="D1015" s="129"/>
      <c r="E1015" s="129"/>
      <c r="F1015" s="130"/>
      <c r="G1015" s="399"/>
      <c r="H1015" s="120"/>
      <c r="I1015" s="417"/>
      <c r="J1015" s="120"/>
      <c r="K1015" s="404"/>
      <c r="L1015" s="120">
        <f>J1015+K1015</f>
        <v>0</v>
      </c>
      <c r="M1015" s="120">
        <f>H1015*I1015</f>
        <v>0</v>
      </c>
      <c r="N1015" s="120">
        <f t="shared" si="318"/>
        <v>0</v>
      </c>
      <c r="O1015" s="404">
        <f>H1015*K1015</f>
        <v>0</v>
      </c>
      <c r="P1015" s="127">
        <f>H1015*L1015</f>
        <v>0</v>
      </c>
      <c r="Q1015" s="129"/>
      <c r="R1015" s="129"/>
      <c r="S1015" s="132"/>
      <c r="T1015" s="129"/>
      <c r="U1015" s="129"/>
      <c r="V1015" s="132"/>
      <c r="W1015" s="129"/>
      <c r="X1015" s="129"/>
      <c r="Y1015" s="132"/>
      <c r="Z1015" s="129"/>
      <c r="AA1015" s="129"/>
      <c r="AB1015" s="132"/>
      <c r="AC1015" s="129"/>
      <c r="AD1015" s="129"/>
      <c r="AE1015" s="132"/>
      <c r="AF1015" s="129"/>
      <c r="AG1015" s="129"/>
      <c r="AH1015" s="132"/>
      <c r="AI1015" s="129"/>
      <c r="AJ1015" s="129"/>
      <c r="AK1015" s="132"/>
      <c r="AL1015" s="129"/>
      <c r="AM1015" s="129"/>
      <c r="AN1015" s="132"/>
      <c r="AO1015" s="129"/>
      <c r="AP1015" s="129"/>
      <c r="AQ1015" s="132"/>
      <c r="AR1015" s="129"/>
      <c r="AS1015" s="129"/>
      <c r="AT1015" s="132"/>
      <c r="AU1015" s="129"/>
      <c r="AV1015" s="129"/>
      <c r="AW1015" s="132"/>
      <c r="AX1015" s="129"/>
      <c r="AY1015" s="129"/>
      <c r="AZ1015" s="132"/>
      <c r="BA1015" s="129"/>
      <c r="BB1015" s="129"/>
      <c r="BC1015" s="132"/>
      <c r="BD1015" s="129"/>
      <c r="BE1015" s="129"/>
      <c r="BF1015" s="132"/>
      <c r="BG1015" s="129"/>
      <c r="BH1015" s="129"/>
      <c r="BI1015" s="132"/>
      <c r="BJ1015" s="129"/>
      <c r="BK1015" s="129"/>
      <c r="BL1015" s="132"/>
      <c r="BM1015" s="129"/>
      <c r="BN1015" s="129"/>
      <c r="BO1015" s="132"/>
      <c r="BP1015" s="129"/>
      <c r="BQ1015" s="129"/>
      <c r="BR1015" s="132"/>
      <c r="BS1015" s="129"/>
      <c r="BT1015" s="129"/>
      <c r="BU1015" s="132"/>
      <c r="BV1015" s="129"/>
      <c r="BW1015" s="129"/>
      <c r="BX1015" s="132"/>
      <c r="BY1015" s="129"/>
      <c r="BZ1015" s="129"/>
      <c r="CA1015" s="132"/>
      <c r="CB1015" s="129"/>
      <c r="CC1015" s="129"/>
      <c r="CD1015" s="132"/>
      <c r="CE1015" s="129"/>
      <c r="CF1015" s="129"/>
      <c r="CG1015" s="132"/>
      <c r="CH1015" s="129"/>
      <c r="CI1015" s="129"/>
      <c r="CJ1015" s="132"/>
      <c r="CK1015" s="129"/>
      <c r="CL1015" s="129"/>
      <c r="CM1015" s="132"/>
      <c r="CN1015" s="129"/>
      <c r="CO1015" s="129"/>
      <c r="CP1015" s="132"/>
      <c r="CQ1015" s="129"/>
      <c r="CR1015" s="129"/>
      <c r="CS1015" s="132"/>
      <c r="CT1015" s="129"/>
      <c r="CU1015" s="129"/>
      <c r="CV1015" s="132"/>
      <c r="CW1015" s="129"/>
      <c r="CX1015" s="129"/>
      <c r="CY1015" s="132"/>
      <c r="CZ1015" s="129"/>
      <c r="DA1015" s="129"/>
      <c r="DB1015" s="132"/>
      <c r="DC1015" s="129"/>
      <c r="DD1015" s="129"/>
      <c r="DE1015" s="132"/>
      <c r="DF1015" s="129"/>
      <c r="DG1015" s="129"/>
      <c r="DH1015" s="132"/>
      <c r="DI1015" s="129"/>
      <c r="DJ1015" s="129"/>
      <c r="DK1015" s="132"/>
      <c r="DL1015" s="129"/>
      <c r="DM1015" s="129"/>
      <c r="DN1015" s="132"/>
      <c r="DO1015" s="129"/>
      <c r="DP1015" s="129"/>
      <c r="DQ1015" s="132"/>
      <c r="DR1015" s="129"/>
      <c r="DS1015" s="129"/>
      <c r="DT1015" s="132"/>
      <c r="DU1015" s="129"/>
      <c r="DV1015" s="129"/>
      <c r="DW1015" s="132"/>
      <c r="DX1015" s="129"/>
      <c r="DY1015" s="129"/>
      <c r="DZ1015" s="132"/>
      <c r="EA1015" s="129"/>
      <c r="EB1015" s="129"/>
      <c r="EC1015" s="132"/>
      <c r="ED1015" s="129"/>
      <c r="EE1015" s="129"/>
      <c r="EF1015" s="132"/>
      <c r="EG1015" s="129"/>
      <c r="EH1015" s="129"/>
      <c r="EI1015" s="132"/>
      <c r="EJ1015" s="129"/>
      <c r="EK1015" s="129"/>
      <c r="EL1015" s="132"/>
      <c r="EM1015" s="129"/>
      <c r="EN1015" s="129"/>
      <c r="EO1015" s="132"/>
      <c r="EP1015" s="129"/>
      <c r="EQ1015" s="129"/>
      <c r="ER1015" s="132"/>
      <c r="ES1015" s="129"/>
      <c r="ET1015" s="129"/>
      <c r="EU1015" s="132"/>
      <c r="EV1015" s="129"/>
      <c r="EW1015" s="129"/>
      <c r="EX1015" s="132"/>
      <c r="EY1015" s="129"/>
      <c r="EZ1015" s="129"/>
      <c r="FA1015" s="132"/>
      <c r="FB1015" s="129"/>
      <c r="FC1015" s="129"/>
      <c r="FD1015" s="132"/>
      <c r="FE1015" s="129"/>
      <c r="FF1015" s="129"/>
      <c r="FG1015" s="132"/>
      <c r="FH1015" s="129"/>
      <c r="FI1015" s="129"/>
      <c r="FJ1015" s="132"/>
      <c r="FK1015" s="129"/>
      <c r="FL1015" s="129"/>
      <c r="FM1015" s="132"/>
      <c r="FN1015" s="129"/>
      <c r="FO1015" s="129"/>
      <c r="FP1015" s="132"/>
      <c r="FQ1015" s="129"/>
      <c r="FR1015" s="129"/>
      <c r="FS1015" s="132"/>
      <c r="FT1015" s="129"/>
      <c r="FU1015" s="129"/>
      <c r="FV1015" s="132"/>
      <c r="FW1015" s="129"/>
      <c r="FX1015" s="129"/>
      <c r="FY1015" s="132"/>
      <c r="FZ1015" s="129"/>
      <c r="GA1015" s="129"/>
      <c r="GB1015" s="132"/>
      <c r="GC1015" s="129"/>
      <c r="GD1015" s="129"/>
      <c r="GE1015" s="132"/>
      <c r="GF1015" s="129"/>
      <c r="GG1015" s="129"/>
      <c r="GH1015" s="132"/>
      <c r="GI1015" s="129"/>
      <c r="GJ1015" s="129"/>
      <c r="GK1015" s="132"/>
      <c r="GL1015" s="129"/>
      <c r="GM1015" s="129"/>
      <c r="GN1015" s="132"/>
      <c r="GO1015" s="129"/>
      <c r="GP1015" s="129"/>
      <c r="GQ1015" s="132"/>
      <c r="GR1015" s="129"/>
      <c r="GS1015" s="129"/>
      <c r="GT1015" s="132"/>
      <c r="GU1015" s="129"/>
      <c r="GV1015" s="129"/>
      <c r="GW1015" s="132"/>
      <c r="GX1015" s="129"/>
      <c r="GY1015" s="129"/>
      <c r="GZ1015" s="132"/>
      <c r="HA1015" s="129"/>
      <c r="HB1015" s="129"/>
      <c r="HC1015" s="132"/>
      <c r="HD1015" s="129"/>
      <c r="HE1015" s="129"/>
      <c r="HF1015" s="132"/>
      <c r="HG1015" s="129"/>
      <c r="HH1015" s="129"/>
      <c r="HI1015" s="132"/>
      <c r="HJ1015" s="129"/>
      <c r="HK1015" s="129"/>
      <c r="HL1015" s="132"/>
      <c r="HM1015" s="129"/>
      <c r="HN1015" s="129"/>
      <c r="HO1015" s="132"/>
      <c r="HP1015" s="129"/>
      <c r="HQ1015" s="129"/>
      <c r="HR1015" s="132"/>
      <c r="HS1015" s="129"/>
      <c r="HT1015" s="129"/>
      <c r="HU1015" s="132"/>
      <c r="HV1015" s="129"/>
      <c r="HW1015" s="129"/>
      <c r="HX1015" s="132"/>
      <c r="HY1015" s="129"/>
      <c r="HZ1015" s="129"/>
      <c r="IA1015" s="132"/>
      <c r="IB1015" s="129"/>
      <c r="IC1015" s="129"/>
      <c r="ID1015" s="132"/>
      <c r="IE1015" s="129"/>
      <c r="IF1015" s="129"/>
      <c r="IG1015" s="132"/>
      <c r="IH1015" s="129"/>
      <c r="II1015" s="129"/>
      <c r="IJ1015" s="132"/>
      <c r="IK1015" s="129"/>
      <c r="IL1015" s="129"/>
      <c r="IM1015" s="132"/>
      <c r="IN1015" s="129"/>
      <c r="IO1015" s="129"/>
      <c r="IP1015" s="132"/>
      <c r="IQ1015" s="129"/>
      <c r="IR1015" s="129"/>
      <c r="IS1015" s="132"/>
      <c r="IT1015" s="129"/>
      <c r="IU1015" s="129"/>
      <c r="IV1015" s="132"/>
    </row>
    <row r="1016" spans="1:256" ht="15.75">
      <c r="A1016" s="132"/>
      <c r="B1016" s="147"/>
      <c r="C1016" s="132"/>
      <c r="D1016" s="129"/>
      <c r="E1016" s="129"/>
      <c r="F1016" s="130"/>
      <c r="G1016" s="399"/>
      <c r="H1016" s="120"/>
      <c r="I1016" s="417"/>
      <c r="J1016" s="120"/>
      <c r="K1016" s="404"/>
      <c r="L1016" s="120"/>
      <c r="M1016" s="120"/>
      <c r="N1016" s="120">
        <f t="shared" si="318"/>
        <v>0</v>
      </c>
      <c r="O1016" s="404"/>
      <c r="P1016" s="127"/>
      <c r="Q1016" s="129"/>
      <c r="R1016" s="129"/>
      <c r="S1016" s="132"/>
      <c r="T1016" s="129"/>
      <c r="U1016" s="129"/>
      <c r="V1016" s="132"/>
      <c r="W1016" s="129"/>
      <c r="X1016" s="129"/>
      <c r="Y1016" s="132"/>
      <c r="Z1016" s="129"/>
      <c r="AA1016" s="129"/>
      <c r="AB1016" s="132"/>
      <c r="AC1016" s="129"/>
      <c r="AD1016" s="129"/>
      <c r="AE1016" s="132"/>
      <c r="AF1016" s="129"/>
      <c r="AG1016" s="129"/>
      <c r="AH1016" s="132"/>
      <c r="AI1016" s="129"/>
      <c r="AJ1016" s="129"/>
      <c r="AK1016" s="132"/>
      <c r="AL1016" s="129"/>
      <c r="AM1016" s="129"/>
      <c r="AN1016" s="132"/>
      <c r="AO1016" s="129"/>
      <c r="AP1016" s="129"/>
      <c r="AQ1016" s="132"/>
      <c r="AR1016" s="129"/>
      <c r="AS1016" s="129"/>
      <c r="AT1016" s="132"/>
      <c r="AU1016" s="129"/>
      <c r="AV1016" s="129"/>
      <c r="AW1016" s="132"/>
      <c r="AX1016" s="129"/>
      <c r="AY1016" s="129"/>
      <c r="AZ1016" s="132"/>
      <c r="BA1016" s="129"/>
      <c r="BB1016" s="129"/>
      <c r="BC1016" s="132"/>
      <c r="BD1016" s="129"/>
      <c r="BE1016" s="129"/>
      <c r="BF1016" s="132"/>
      <c r="BG1016" s="129"/>
      <c r="BH1016" s="129"/>
      <c r="BI1016" s="132"/>
      <c r="BJ1016" s="129"/>
      <c r="BK1016" s="129"/>
      <c r="BL1016" s="132"/>
      <c r="BM1016" s="129"/>
      <c r="BN1016" s="129"/>
      <c r="BO1016" s="132"/>
      <c r="BP1016" s="129"/>
      <c r="BQ1016" s="129"/>
      <c r="BR1016" s="132"/>
      <c r="BS1016" s="129"/>
      <c r="BT1016" s="129"/>
      <c r="BU1016" s="132"/>
      <c r="BV1016" s="129"/>
      <c r="BW1016" s="129"/>
      <c r="BX1016" s="132"/>
      <c r="BY1016" s="129"/>
      <c r="BZ1016" s="129"/>
      <c r="CA1016" s="132"/>
      <c r="CB1016" s="129"/>
      <c r="CC1016" s="129"/>
      <c r="CD1016" s="132"/>
      <c r="CE1016" s="129"/>
      <c r="CF1016" s="129"/>
      <c r="CG1016" s="132"/>
      <c r="CH1016" s="129"/>
      <c r="CI1016" s="129"/>
      <c r="CJ1016" s="132"/>
      <c r="CK1016" s="129"/>
      <c r="CL1016" s="129"/>
      <c r="CM1016" s="132"/>
      <c r="CN1016" s="129"/>
      <c r="CO1016" s="129"/>
      <c r="CP1016" s="132"/>
      <c r="CQ1016" s="129"/>
      <c r="CR1016" s="129"/>
      <c r="CS1016" s="132"/>
      <c r="CT1016" s="129"/>
      <c r="CU1016" s="129"/>
      <c r="CV1016" s="132"/>
      <c r="CW1016" s="129"/>
      <c r="CX1016" s="129"/>
      <c r="CY1016" s="132"/>
      <c r="CZ1016" s="129"/>
      <c r="DA1016" s="129"/>
      <c r="DB1016" s="132"/>
      <c r="DC1016" s="129"/>
      <c r="DD1016" s="129"/>
      <c r="DE1016" s="132"/>
      <c r="DF1016" s="129"/>
      <c r="DG1016" s="129"/>
      <c r="DH1016" s="132"/>
      <c r="DI1016" s="129"/>
      <c r="DJ1016" s="129"/>
      <c r="DK1016" s="132"/>
      <c r="DL1016" s="129"/>
      <c r="DM1016" s="129"/>
      <c r="DN1016" s="132"/>
      <c r="DO1016" s="129"/>
      <c r="DP1016" s="129"/>
      <c r="DQ1016" s="132"/>
      <c r="DR1016" s="129"/>
      <c r="DS1016" s="129"/>
      <c r="DT1016" s="132"/>
      <c r="DU1016" s="129"/>
      <c r="DV1016" s="129"/>
      <c r="DW1016" s="132"/>
      <c r="DX1016" s="129"/>
      <c r="DY1016" s="129"/>
      <c r="DZ1016" s="132"/>
      <c r="EA1016" s="129"/>
      <c r="EB1016" s="129"/>
      <c r="EC1016" s="132"/>
      <c r="ED1016" s="129"/>
      <c r="EE1016" s="129"/>
      <c r="EF1016" s="132"/>
      <c r="EG1016" s="129"/>
      <c r="EH1016" s="129"/>
      <c r="EI1016" s="132"/>
      <c r="EJ1016" s="129"/>
      <c r="EK1016" s="129"/>
      <c r="EL1016" s="132"/>
      <c r="EM1016" s="129"/>
      <c r="EN1016" s="129"/>
      <c r="EO1016" s="132"/>
      <c r="EP1016" s="129"/>
      <c r="EQ1016" s="129"/>
      <c r="ER1016" s="132"/>
      <c r="ES1016" s="129"/>
      <c r="ET1016" s="129"/>
      <c r="EU1016" s="132"/>
      <c r="EV1016" s="129"/>
      <c r="EW1016" s="129"/>
      <c r="EX1016" s="132"/>
      <c r="EY1016" s="129"/>
      <c r="EZ1016" s="129"/>
      <c r="FA1016" s="132"/>
      <c r="FB1016" s="129"/>
      <c r="FC1016" s="129"/>
      <c r="FD1016" s="132"/>
      <c r="FE1016" s="129"/>
      <c r="FF1016" s="129"/>
      <c r="FG1016" s="132"/>
      <c r="FH1016" s="129"/>
      <c r="FI1016" s="129"/>
      <c r="FJ1016" s="132"/>
      <c r="FK1016" s="129"/>
      <c r="FL1016" s="129"/>
      <c r="FM1016" s="132"/>
      <c r="FN1016" s="129"/>
      <c r="FO1016" s="129"/>
      <c r="FP1016" s="132"/>
      <c r="FQ1016" s="129"/>
      <c r="FR1016" s="129"/>
      <c r="FS1016" s="132"/>
      <c r="FT1016" s="129"/>
      <c r="FU1016" s="129"/>
      <c r="FV1016" s="132"/>
      <c r="FW1016" s="129"/>
      <c r="FX1016" s="129"/>
      <c r="FY1016" s="132"/>
      <c r="FZ1016" s="129"/>
      <c r="GA1016" s="129"/>
      <c r="GB1016" s="132"/>
      <c r="GC1016" s="129"/>
      <c r="GD1016" s="129"/>
      <c r="GE1016" s="132"/>
      <c r="GF1016" s="129"/>
      <c r="GG1016" s="129"/>
      <c r="GH1016" s="132"/>
      <c r="GI1016" s="129"/>
      <c r="GJ1016" s="129"/>
      <c r="GK1016" s="132"/>
      <c r="GL1016" s="129"/>
      <c r="GM1016" s="129"/>
      <c r="GN1016" s="132"/>
      <c r="GO1016" s="129"/>
      <c r="GP1016" s="129"/>
      <c r="GQ1016" s="132"/>
      <c r="GR1016" s="129"/>
      <c r="GS1016" s="129"/>
      <c r="GT1016" s="132"/>
      <c r="GU1016" s="129"/>
      <c r="GV1016" s="129"/>
      <c r="GW1016" s="132"/>
      <c r="GX1016" s="129"/>
      <c r="GY1016" s="129"/>
      <c r="GZ1016" s="132"/>
      <c r="HA1016" s="129"/>
      <c r="HB1016" s="129"/>
      <c r="HC1016" s="132"/>
      <c r="HD1016" s="129"/>
      <c r="HE1016" s="129"/>
      <c r="HF1016" s="132"/>
      <c r="HG1016" s="129"/>
      <c r="HH1016" s="129"/>
      <c r="HI1016" s="132"/>
      <c r="HJ1016" s="129"/>
      <c r="HK1016" s="129"/>
      <c r="HL1016" s="132"/>
      <c r="HM1016" s="129"/>
      <c r="HN1016" s="129"/>
      <c r="HO1016" s="132"/>
      <c r="HP1016" s="129"/>
      <c r="HQ1016" s="129"/>
      <c r="HR1016" s="132"/>
      <c r="HS1016" s="129"/>
      <c r="HT1016" s="129"/>
      <c r="HU1016" s="132"/>
      <c r="HV1016" s="129"/>
      <c r="HW1016" s="129"/>
      <c r="HX1016" s="132"/>
      <c r="HY1016" s="129"/>
      <c r="HZ1016" s="129"/>
      <c r="IA1016" s="132"/>
      <c r="IB1016" s="129"/>
      <c r="IC1016" s="129"/>
      <c r="ID1016" s="132"/>
      <c r="IE1016" s="129"/>
      <c r="IF1016" s="129"/>
      <c r="IG1016" s="132"/>
      <c r="IH1016" s="129"/>
      <c r="II1016" s="129"/>
      <c r="IJ1016" s="132"/>
      <c r="IK1016" s="129"/>
      <c r="IL1016" s="129"/>
      <c r="IM1016" s="132"/>
      <c r="IN1016" s="129"/>
      <c r="IO1016" s="129"/>
      <c r="IP1016" s="132"/>
      <c r="IQ1016" s="129"/>
      <c r="IR1016" s="129"/>
      <c r="IS1016" s="132"/>
      <c r="IT1016" s="129"/>
      <c r="IU1016" s="129"/>
      <c r="IV1016" s="132"/>
    </row>
    <row r="1017" spans="1:256" ht="15.75">
      <c r="A1017" s="156"/>
      <c r="B1017" s="118" t="s">
        <v>812</v>
      </c>
      <c r="C1017" s="132" t="s">
        <v>810</v>
      </c>
      <c r="D1017" s="129"/>
      <c r="E1017" s="129"/>
      <c r="F1017" s="130"/>
      <c r="G1017" s="399" t="s">
        <v>663</v>
      </c>
      <c r="H1017" s="120">
        <v>1034.6600000000001</v>
      </c>
      <c r="I1017" s="417">
        <v>108</v>
      </c>
      <c r="J1017" s="120">
        <v>45</v>
      </c>
      <c r="K1017" s="404"/>
      <c r="L1017" s="120">
        <f t="shared" ref="L1017:L1022" si="325">J1017+K1017</f>
        <v>45</v>
      </c>
      <c r="M1017" s="120">
        <f t="shared" ref="M1017:M1022" si="326">H1017*I1017</f>
        <v>111743.28000000001</v>
      </c>
      <c r="N1017" s="120">
        <f t="shared" si="318"/>
        <v>46559.700000000004</v>
      </c>
      <c r="O1017" s="404">
        <f t="shared" ref="O1017:O1022" si="327">H1017*K1017</f>
        <v>0</v>
      </c>
      <c r="P1017" s="127">
        <f t="shared" ref="P1017:P1024" si="328">H1017*L1017</f>
        <v>46559.700000000004</v>
      </c>
      <c r="Q1017" s="159"/>
      <c r="R1017" s="159"/>
      <c r="S1017" s="156"/>
      <c r="T1017" s="159"/>
      <c r="U1017" s="159"/>
      <c r="V1017" s="156"/>
      <c r="W1017" s="159"/>
      <c r="X1017" s="159"/>
      <c r="Y1017" s="156"/>
      <c r="Z1017" s="159"/>
      <c r="AA1017" s="159"/>
      <c r="AB1017" s="156"/>
      <c r="AC1017" s="159"/>
      <c r="AD1017" s="159"/>
      <c r="AE1017" s="156"/>
      <c r="AF1017" s="159"/>
      <c r="AG1017" s="159"/>
      <c r="AH1017" s="156"/>
      <c r="AI1017" s="159"/>
      <c r="AJ1017" s="159"/>
      <c r="AK1017" s="156"/>
      <c r="AL1017" s="159"/>
      <c r="AM1017" s="159"/>
      <c r="AN1017" s="156"/>
      <c r="AO1017" s="159"/>
      <c r="AP1017" s="159"/>
      <c r="AQ1017" s="156"/>
      <c r="AR1017" s="159"/>
      <c r="AS1017" s="159"/>
      <c r="AT1017" s="156"/>
      <c r="AU1017" s="159"/>
      <c r="AV1017" s="159"/>
      <c r="AW1017" s="156"/>
      <c r="AX1017" s="159"/>
      <c r="AY1017" s="159"/>
      <c r="AZ1017" s="156"/>
      <c r="BA1017" s="159"/>
      <c r="BB1017" s="159"/>
      <c r="BC1017" s="156"/>
      <c r="BD1017" s="159"/>
      <c r="BE1017" s="159"/>
      <c r="BF1017" s="156"/>
      <c r="BG1017" s="159"/>
      <c r="BH1017" s="159"/>
      <c r="BI1017" s="156"/>
      <c r="BJ1017" s="159"/>
      <c r="BK1017" s="159"/>
      <c r="BL1017" s="156"/>
      <c r="BM1017" s="159"/>
      <c r="BN1017" s="159"/>
      <c r="BO1017" s="156"/>
      <c r="BP1017" s="159"/>
      <c r="BQ1017" s="159"/>
      <c r="BR1017" s="156"/>
      <c r="BS1017" s="159"/>
      <c r="BT1017" s="159"/>
      <c r="BU1017" s="156"/>
      <c r="BV1017" s="159"/>
      <c r="BW1017" s="159"/>
      <c r="BX1017" s="156"/>
      <c r="BY1017" s="159"/>
      <c r="BZ1017" s="159"/>
      <c r="CA1017" s="156"/>
      <c r="CB1017" s="159"/>
      <c r="CC1017" s="159"/>
      <c r="CD1017" s="156"/>
      <c r="CE1017" s="159"/>
      <c r="CF1017" s="159"/>
      <c r="CG1017" s="156"/>
      <c r="CH1017" s="159"/>
      <c r="CI1017" s="159"/>
      <c r="CJ1017" s="156"/>
      <c r="CK1017" s="159"/>
      <c r="CL1017" s="159"/>
      <c r="CM1017" s="156"/>
      <c r="CN1017" s="159"/>
      <c r="CO1017" s="159"/>
      <c r="CP1017" s="156"/>
      <c r="CQ1017" s="159"/>
      <c r="CR1017" s="159"/>
      <c r="CS1017" s="156"/>
      <c r="CT1017" s="159"/>
      <c r="CU1017" s="159"/>
      <c r="CV1017" s="156"/>
      <c r="CW1017" s="159"/>
      <c r="CX1017" s="159"/>
      <c r="CY1017" s="156"/>
      <c r="CZ1017" s="159"/>
      <c r="DA1017" s="159"/>
      <c r="DB1017" s="156"/>
      <c r="DC1017" s="159"/>
      <c r="DD1017" s="159"/>
      <c r="DE1017" s="156"/>
      <c r="DF1017" s="159"/>
      <c r="DG1017" s="159"/>
      <c r="DH1017" s="156"/>
      <c r="DI1017" s="159"/>
      <c r="DJ1017" s="159"/>
      <c r="DK1017" s="156"/>
      <c r="DL1017" s="159"/>
      <c r="DM1017" s="159"/>
      <c r="DN1017" s="156"/>
      <c r="DO1017" s="159"/>
      <c r="DP1017" s="159"/>
      <c r="DQ1017" s="156"/>
      <c r="DR1017" s="159"/>
      <c r="DS1017" s="159"/>
      <c r="DT1017" s="156"/>
      <c r="DU1017" s="159"/>
      <c r="DV1017" s="159"/>
      <c r="DW1017" s="156"/>
      <c r="DX1017" s="159"/>
      <c r="DY1017" s="159"/>
      <c r="DZ1017" s="156"/>
      <c r="EA1017" s="159"/>
      <c r="EB1017" s="159"/>
      <c r="EC1017" s="156"/>
      <c r="ED1017" s="159"/>
      <c r="EE1017" s="159"/>
      <c r="EF1017" s="156"/>
      <c r="EG1017" s="159"/>
      <c r="EH1017" s="159"/>
      <c r="EI1017" s="156"/>
      <c r="EJ1017" s="159"/>
      <c r="EK1017" s="159"/>
      <c r="EL1017" s="156"/>
      <c r="EM1017" s="159"/>
      <c r="EN1017" s="159"/>
      <c r="EO1017" s="156"/>
      <c r="EP1017" s="159"/>
      <c r="EQ1017" s="159"/>
      <c r="ER1017" s="156"/>
      <c r="ES1017" s="159"/>
      <c r="ET1017" s="159"/>
      <c r="EU1017" s="156"/>
      <c r="EV1017" s="159"/>
      <c r="EW1017" s="159"/>
      <c r="EX1017" s="156"/>
      <c r="EY1017" s="159"/>
      <c r="EZ1017" s="159"/>
      <c r="FA1017" s="156"/>
      <c r="FB1017" s="159"/>
      <c r="FC1017" s="159"/>
      <c r="FD1017" s="156"/>
      <c r="FE1017" s="159"/>
      <c r="FF1017" s="159"/>
      <c r="FG1017" s="156"/>
      <c r="FH1017" s="159"/>
      <c r="FI1017" s="159"/>
      <c r="FJ1017" s="156"/>
      <c r="FK1017" s="159"/>
      <c r="FL1017" s="159"/>
      <c r="FM1017" s="156"/>
      <c r="FN1017" s="159"/>
      <c r="FO1017" s="159"/>
      <c r="FP1017" s="156"/>
      <c r="FQ1017" s="159"/>
      <c r="FR1017" s="159"/>
      <c r="FS1017" s="156"/>
      <c r="FT1017" s="159"/>
      <c r="FU1017" s="159"/>
      <c r="FV1017" s="156"/>
      <c r="FW1017" s="159"/>
      <c r="FX1017" s="159"/>
      <c r="FY1017" s="156"/>
      <c r="FZ1017" s="159"/>
      <c r="GA1017" s="159"/>
      <c r="GB1017" s="156"/>
      <c r="GC1017" s="159"/>
      <c r="GD1017" s="159"/>
      <c r="GE1017" s="156"/>
      <c r="GF1017" s="159"/>
      <c r="GG1017" s="159"/>
      <c r="GH1017" s="156"/>
      <c r="GI1017" s="159"/>
      <c r="GJ1017" s="159"/>
      <c r="GK1017" s="156"/>
      <c r="GL1017" s="159"/>
      <c r="GM1017" s="159"/>
      <c r="GN1017" s="156"/>
      <c r="GO1017" s="159"/>
      <c r="GP1017" s="159"/>
      <c r="GQ1017" s="156"/>
      <c r="GR1017" s="159"/>
      <c r="GS1017" s="159"/>
      <c r="GT1017" s="156"/>
      <c r="GU1017" s="159"/>
      <c r="GV1017" s="159"/>
      <c r="GW1017" s="156"/>
      <c r="GX1017" s="159"/>
      <c r="GY1017" s="159"/>
      <c r="GZ1017" s="156"/>
      <c r="HA1017" s="159"/>
      <c r="HB1017" s="159"/>
      <c r="HC1017" s="156"/>
      <c r="HD1017" s="159"/>
      <c r="HE1017" s="159"/>
      <c r="HF1017" s="156"/>
      <c r="HG1017" s="159"/>
      <c r="HH1017" s="159"/>
      <c r="HI1017" s="156"/>
      <c r="HJ1017" s="159"/>
      <c r="HK1017" s="159"/>
      <c r="HL1017" s="156"/>
      <c r="HM1017" s="159"/>
      <c r="HN1017" s="159"/>
      <c r="HO1017" s="156"/>
      <c r="HP1017" s="159"/>
      <c r="HQ1017" s="159"/>
      <c r="HR1017" s="156"/>
      <c r="HS1017" s="159"/>
      <c r="HT1017" s="159"/>
      <c r="HU1017" s="156"/>
      <c r="HV1017" s="159"/>
      <c r="HW1017" s="159"/>
      <c r="HX1017" s="156"/>
      <c r="HY1017" s="159"/>
      <c r="HZ1017" s="159"/>
      <c r="IA1017" s="156"/>
      <c r="IB1017" s="159"/>
      <c r="IC1017" s="159"/>
      <c r="ID1017" s="156"/>
      <c r="IE1017" s="159"/>
      <c r="IF1017" s="159"/>
      <c r="IG1017" s="156"/>
      <c r="IH1017" s="159"/>
      <c r="II1017" s="159"/>
      <c r="IJ1017" s="156"/>
      <c r="IK1017" s="159"/>
      <c r="IL1017" s="159"/>
      <c r="IM1017" s="156"/>
      <c r="IN1017" s="159"/>
      <c r="IO1017" s="159"/>
      <c r="IP1017" s="156"/>
      <c r="IQ1017" s="159"/>
      <c r="IR1017" s="159"/>
      <c r="IS1017" s="156"/>
      <c r="IT1017" s="159"/>
      <c r="IU1017" s="159"/>
      <c r="IV1017" s="156"/>
    </row>
    <row r="1018" spans="1:256" ht="15.75">
      <c r="A1018" s="132"/>
      <c r="B1018" s="118"/>
      <c r="C1018" s="132"/>
      <c r="D1018" s="129"/>
      <c r="E1018" s="129"/>
      <c r="F1018" s="130"/>
      <c r="G1018" s="399"/>
      <c r="H1018" s="120"/>
      <c r="I1018" s="417"/>
      <c r="J1018" s="120"/>
      <c r="K1018" s="404"/>
      <c r="L1018" s="120">
        <f t="shared" si="325"/>
        <v>0</v>
      </c>
      <c r="M1018" s="120">
        <f t="shared" si="326"/>
        <v>0</v>
      </c>
      <c r="N1018" s="120">
        <f t="shared" si="318"/>
        <v>0</v>
      </c>
      <c r="O1018" s="404">
        <f t="shared" si="327"/>
        <v>0</v>
      </c>
      <c r="P1018" s="127">
        <f t="shared" si="328"/>
        <v>0</v>
      </c>
      <c r="Q1018" s="129"/>
      <c r="R1018" s="129"/>
      <c r="S1018" s="132"/>
      <c r="T1018" s="129"/>
      <c r="U1018" s="129"/>
      <c r="V1018" s="132"/>
      <c r="W1018" s="129"/>
      <c r="X1018" s="129"/>
      <c r="Y1018" s="132"/>
      <c r="Z1018" s="129"/>
      <c r="AA1018" s="129"/>
      <c r="AB1018" s="132"/>
      <c r="AC1018" s="129"/>
      <c r="AD1018" s="129"/>
      <c r="AE1018" s="132"/>
      <c r="AF1018" s="129"/>
      <c r="AG1018" s="129"/>
      <c r="AH1018" s="132"/>
      <c r="AI1018" s="129"/>
      <c r="AJ1018" s="129"/>
      <c r="AK1018" s="132"/>
      <c r="AL1018" s="129"/>
      <c r="AM1018" s="129"/>
      <c r="AN1018" s="132"/>
      <c r="AO1018" s="129"/>
      <c r="AP1018" s="129"/>
      <c r="AQ1018" s="132"/>
      <c r="AR1018" s="129"/>
      <c r="AS1018" s="129"/>
      <c r="AT1018" s="132"/>
      <c r="AU1018" s="129"/>
      <c r="AV1018" s="129"/>
      <c r="AW1018" s="132"/>
      <c r="AX1018" s="129"/>
      <c r="AY1018" s="129"/>
      <c r="AZ1018" s="132"/>
      <c r="BA1018" s="129"/>
      <c r="BB1018" s="129"/>
      <c r="BC1018" s="132"/>
      <c r="BD1018" s="129"/>
      <c r="BE1018" s="129"/>
      <c r="BF1018" s="132"/>
      <c r="BG1018" s="129"/>
      <c r="BH1018" s="129"/>
      <c r="BI1018" s="132"/>
      <c r="BJ1018" s="129"/>
      <c r="BK1018" s="129"/>
      <c r="BL1018" s="132"/>
      <c r="BM1018" s="129"/>
      <c r="BN1018" s="129"/>
      <c r="BO1018" s="132"/>
      <c r="BP1018" s="129"/>
      <c r="BQ1018" s="129"/>
      <c r="BR1018" s="132"/>
      <c r="BS1018" s="129"/>
      <c r="BT1018" s="129"/>
      <c r="BU1018" s="132"/>
      <c r="BV1018" s="129"/>
      <c r="BW1018" s="129"/>
      <c r="BX1018" s="132"/>
      <c r="BY1018" s="129"/>
      <c r="BZ1018" s="129"/>
      <c r="CA1018" s="132"/>
      <c r="CB1018" s="129"/>
      <c r="CC1018" s="129"/>
      <c r="CD1018" s="132"/>
      <c r="CE1018" s="129"/>
      <c r="CF1018" s="129"/>
      <c r="CG1018" s="132"/>
      <c r="CH1018" s="129"/>
      <c r="CI1018" s="129"/>
      <c r="CJ1018" s="132"/>
      <c r="CK1018" s="129"/>
      <c r="CL1018" s="129"/>
      <c r="CM1018" s="132"/>
      <c r="CN1018" s="129"/>
      <c r="CO1018" s="129"/>
      <c r="CP1018" s="132"/>
      <c r="CQ1018" s="129"/>
      <c r="CR1018" s="129"/>
      <c r="CS1018" s="132"/>
      <c r="CT1018" s="129"/>
      <c r="CU1018" s="129"/>
      <c r="CV1018" s="132"/>
      <c r="CW1018" s="129"/>
      <c r="CX1018" s="129"/>
      <c r="CY1018" s="132"/>
      <c r="CZ1018" s="129"/>
      <c r="DA1018" s="129"/>
      <c r="DB1018" s="132"/>
      <c r="DC1018" s="129"/>
      <c r="DD1018" s="129"/>
      <c r="DE1018" s="132"/>
      <c r="DF1018" s="129"/>
      <c r="DG1018" s="129"/>
      <c r="DH1018" s="132"/>
      <c r="DI1018" s="129"/>
      <c r="DJ1018" s="129"/>
      <c r="DK1018" s="132"/>
      <c r="DL1018" s="129"/>
      <c r="DM1018" s="129"/>
      <c r="DN1018" s="132"/>
      <c r="DO1018" s="129"/>
      <c r="DP1018" s="129"/>
      <c r="DQ1018" s="132"/>
      <c r="DR1018" s="129"/>
      <c r="DS1018" s="129"/>
      <c r="DT1018" s="132"/>
      <c r="DU1018" s="129"/>
      <c r="DV1018" s="129"/>
      <c r="DW1018" s="132"/>
      <c r="DX1018" s="129"/>
      <c r="DY1018" s="129"/>
      <c r="DZ1018" s="132"/>
      <c r="EA1018" s="129"/>
      <c r="EB1018" s="129"/>
      <c r="EC1018" s="132"/>
      <c r="ED1018" s="129"/>
      <c r="EE1018" s="129"/>
      <c r="EF1018" s="132"/>
      <c r="EG1018" s="129"/>
      <c r="EH1018" s="129"/>
      <c r="EI1018" s="132"/>
      <c r="EJ1018" s="129"/>
      <c r="EK1018" s="129"/>
      <c r="EL1018" s="132"/>
      <c r="EM1018" s="129"/>
      <c r="EN1018" s="129"/>
      <c r="EO1018" s="132"/>
      <c r="EP1018" s="129"/>
      <c r="EQ1018" s="129"/>
      <c r="ER1018" s="132"/>
      <c r="ES1018" s="129"/>
      <c r="ET1018" s="129"/>
      <c r="EU1018" s="132"/>
      <c r="EV1018" s="129"/>
      <c r="EW1018" s="129"/>
      <c r="EX1018" s="132"/>
      <c r="EY1018" s="129"/>
      <c r="EZ1018" s="129"/>
      <c r="FA1018" s="132"/>
      <c r="FB1018" s="129"/>
      <c r="FC1018" s="129"/>
      <c r="FD1018" s="132"/>
      <c r="FE1018" s="129"/>
      <c r="FF1018" s="129"/>
      <c r="FG1018" s="132"/>
      <c r="FH1018" s="129"/>
      <c r="FI1018" s="129"/>
      <c r="FJ1018" s="132"/>
      <c r="FK1018" s="129"/>
      <c r="FL1018" s="129"/>
      <c r="FM1018" s="132"/>
      <c r="FN1018" s="129"/>
      <c r="FO1018" s="129"/>
      <c r="FP1018" s="132"/>
      <c r="FQ1018" s="129"/>
      <c r="FR1018" s="129"/>
      <c r="FS1018" s="132"/>
      <c r="FT1018" s="129"/>
      <c r="FU1018" s="129"/>
      <c r="FV1018" s="132"/>
      <c r="FW1018" s="129"/>
      <c r="FX1018" s="129"/>
      <c r="FY1018" s="132"/>
      <c r="FZ1018" s="129"/>
      <c r="GA1018" s="129"/>
      <c r="GB1018" s="132"/>
      <c r="GC1018" s="129"/>
      <c r="GD1018" s="129"/>
      <c r="GE1018" s="132"/>
      <c r="GF1018" s="129"/>
      <c r="GG1018" s="129"/>
      <c r="GH1018" s="132"/>
      <c r="GI1018" s="129"/>
      <c r="GJ1018" s="129"/>
      <c r="GK1018" s="132"/>
      <c r="GL1018" s="129"/>
      <c r="GM1018" s="129"/>
      <c r="GN1018" s="132"/>
      <c r="GO1018" s="129"/>
      <c r="GP1018" s="129"/>
      <c r="GQ1018" s="132"/>
      <c r="GR1018" s="129"/>
      <c r="GS1018" s="129"/>
      <c r="GT1018" s="132"/>
      <c r="GU1018" s="129"/>
      <c r="GV1018" s="129"/>
      <c r="GW1018" s="132"/>
      <c r="GX1018" s="129"/>
      <c r="GY1018" s="129"/>
      <c r="GZ1018" s="132"/>
      <c r="HA1018" s="129"/>
      <c r="HB1018" s="129"/>
      <c r="HC1018" s="132"/>
      <c r="HD1018" s="129"/>
      <c r="HE1018" s="129"/>
      <c r="HF1018" s="132"/>
      <c r="HG1018" s="129"/>
      <c r="HH1018" s="129"/>
      <c r="HI1018" s="132"/>
      <c r="HJ1018" s="129"/>
      <c r="HK1018" s="129"/>
      <c r="HL1018" s="132"/>
      <c r="HM1018" s="129"/>
      <c r="HN1018" s="129"/>
      <c r="HO1018" s="132"/>
      <c r="HP1018" s="129"/>
      <c r="HQ1018" s="129"/>
      <c r="HR1018" s="132"/>
      <c r="HS1018" s="129"/>
      <c r="HT1018" s="129"/>
      <c r="HU1018" s="132"/>
      <c r="HV1018" s="129"/>
      <c r="HW1018" s="129"/>
      <c r="HX1018" s="132"/>
      <c r="HY1018" s="129"/>
      <c r="HZ1018" s="129"/>
      <c r="IA1018" s="132"/>
      <c r="IB1018" s="129"/>
      <c r="IC1018" s="129"/>
      <c r="ID1018" s="132"/>
      <c r="IE1018" s="129"/>
      <c r="IF1018" s="129"/>
      <c r="IG1018" s="132"/>
      <c r="IH1018" s="129"/>
      <c r="II1018" s="129"/>
      <c r="IJ1018" s="132"/>
      <c r="IK1018" s="129"/>
      <c r="IL1018" s="129"/>
      <c r="IM1018" s="132"/>
      <c r="IN1018" s="129"/>
      <c r="IO1018" s="129"/>
      <c r="IP1018" s="132"/>
      <c r="IQ1018" s="129"/>
      <c r="IR1018" s="129"/>
      <c r="IS1018" s="132"/>
      <c r="IT1018" s="129"/>
      <c r="IU1018" s="129"/>
      <c r="IV1018" s="132"/>
    </row>
    <row r="1019" spans="1:256" ht="15.75">
      <c r="A1019" s="132"/>
      <c r="B1019" s="118"/>
      <c r="C1019" s="132"/>
      <c r="D1019" s="129"/>
      <c r="E1019" s="129"/>
      <c r="F1019" s="130"/>
      <c r="G1019" s="399"/>
      <c r="H1019" s="120"/>
      <c r="I1019" s="417"/>
      <c r="J1019" s="120"/>
      <c r="K1019" s="404"/>
      <c r="L1019" s="120">
        <f t="shared" si="325"/>
        <v>0</v>
      </c>
      <c r="M1019" s="120">
        <f t="shared" si="326"/>
        <v>0</v>
      </c>
      <c r="N1019" s="120">
        <f t="shared" si="318"/>
        <v>0</v>
      </c>
      <c r="O1019" s="404">
        <f t="shared" si="327"/>
        <v>0</v>
      </c>
      <c r="P1019" s="127">
        <f t="shared" si="328"/>
        <v>0</v>
      </c>
      <c r="Q1019" s="129"/>
      <c r="R1019" s="129"/>
      <c r="S1019" s="132"/>
      <c r="T1019" s="129"/>
      <c r="U1019" s="129"/>
      <c r="V1019" s="132"/>
      <c r="W1019" s="129"/>
      <c r="X1019" s="129"/>
      <c r="Y1019" s="132"/>
      <c r="Z1019" s="129"/>
      <c r="AA1019" s="129"/>
      <c r="AB1019" s="132"/>
      <c r="AC1019" s="129"/>
      <c r="AD1019" s="129"/>
      <c r="AE1019" s="132"/>
      <c r="AF1019" s="129"/>
      <c r="AG1019" s="129"/>
      <c r="AH1019" s="132"/>
      <c r="AI1019" s="129"/>
      <c r="AJ1019" s="129"/>
      <c r="AK1019" s="132"/>
      <c r="AL1019" s="129"/>
      <c r="AM1019" s="129"/>
      <c r="AN1019" s="132"/>
      <c r="AO1019" s="129"/>
      <c r="AP1019" s="129"/>
      <c r="AQ1019" s="132"/>
      <c r="AR1019" s="129"/>
      <c r="AS1019" s="129"/>
      <c r="AT1019" s="132"/>
      <c r="AU1019" s="129"/>
      <c r="AV1019" s="129"/>
      <c r="AW1019" s="132"/>
      <c r="AX1019" s="129"/>
      <c r="AY1019" s="129"/>
      <c r="AZ1019" s="132"/>
      <c r="BA1019" s="129"/>
      <c r="BB1019" s="129"/>
      <c r="BC1019" s="132"/>
      <c r="BD1019" s="129"/>
      <c r="BE1019" s="129"/>
      <c r="BF1019" s="132"/>
      <c r="BG1019" s="129"/>
      <c r="BH1019" s="129"/>
      <c r="BI1019" s="132"/>
      <c r="BJ1019" s="129"/>
      <c r="BK1019" s="129"/>
      <c r="BL1019" s="132"/>
      <c r="BM1019" s="129"/>
      <c r="BN1019" s="129"/>
      <c r="BO1019" s="132"/>
      <c r="BP1019" s="129"/>
      <c r="BQ1019" s="129"/>
      <c r="BR1019" s="132"/>
      <c r="BS1019" s="129"/>
      <c r="BT1019" s="129"/>
      <c r="BU1019" s="132"/>
      <c r="BV1019" s="129"/>
      <c r="BW1019" s="129"/>
      <c r="BX1019" s="132"/>
      <c r="BY1019" s="129"/>
      <c r="BZ1019" s="129"/>
      <c r="CA1019" s="132"/>
      <c r="CB1019" s="129"/>
      <c r="CC1019" s="129"/>
      <c r="CD1019" s="132"/>
      <c r="CE1019" s="129"/>
      <c r="CF1019" s="129"/>
      <c r="CG1019" s="132"/>
      <c r="CH1019" s="129"/>
      <c r="CI1019" s="129"/>
      <c r="CJ1019" s="132"/>
      <c r="CK1019" s="129"/>
      <c r="CL1019" s="129"/>
      <c r="CM1019" s="132"/>
      <c r="CN1019" s="129"/>
      <c r="CO1019" s="129"/>
      <c r="CP1019" s="132"/>
      <c r="CQ1019" s="129"/>
      <c r="CR1019" s="129"/>
      <c r="CS1019" s="132"/>
      <c r="CT1019" s="129"/>
      <c r="CU1019" s="129"/>
      <c r="CV1019" s="132"/>
      <c r="CW1019" s="129"/>
      <c r="CX1019" s="129"/>
      <c r="CY1019" s="132"/>
      <c r="CZ1019" s="129"/>
      <c r="DA1019" s="129"/>
      <c r="DB1019" s="132"/>
      <c r="DC1019" s="129"/>
      <c r="DD1019" s="129"/>
      <c r="DE1019" s="132"/>
      <c r="DF1019" s="129"/>
      <c r="DG1019" s="129"/>
      <c r="DH1019" s="132"/>
      <c r="DI1019" s="129"/>
      <c r="DJ1019" s="129"/>
      <c r="DK1019" s="132"/>
      <c r="DL1019" s="129"/>
      <c r="DM1019" s="129"/>
      <c r="DN1019" s="132"/>
      <c r="DO1019" s="129"/>
      <c r="DP1019" s="129"/>
      <c r="DQ1019" s="132"/>
      <c r="DR1019" s="129"/>
      <c r="DS1019" s="129"/>
      <c r="DT1019" s="132"/>
      <c r="DU1019" s="129"/>
      <c r="DV1019" s="129"/>
      <c r="DW1019" s="132"/>
      <c r="DX1019" s="129"/>
      <c r="DY1019" s="129"/>
      <c r="DZ1019" s="132"/>
      <c r="EA1019" s="129"/>
      <c r="EB1019" s="129"/>
      <c r="EC1019" s="132"/>
      <c r="ED1019" s="129"/>
      <c r="EE1019" s="129"/>
      <c r="EF1019" s="132"/>
      <c r="EG1019" s="129"/>
      <c r="EH1019" s="129"/>
      <c r="EI1019" s="132"/>
      <c r="EJ1019" s="129"/>
      <c r="EK1019" s="129"/>
      <c r="EL1019" s="132"/>
      <c r="EM1019" s="129"/>
      <c r="EN1019" s="129"/>
      <c r="EO1019" s="132"/>
      <c r="EP1019" s="129"/>
      <c r="EQ1019" s="129"/>
      <c r="ER1019" s="132"/>
      <c r="ES1019" s="129"/>
      <c r="ET1019" s="129"/>
      <c r="EU1019" s="132"/>
      <c r="EV1019" s="129"/>
      <c r="EW1019" s="129"/>
      <c r="EX1019" s="132"/>
      <c r="EY1019" s="129"/>
      <c r="EZ1019" s="129"/>
      <c r="FA1019" s="132"/>
      <c r="FB1019" s="129"/>
      <c r="FC1019" s="129"/>
      <c r="FD1019" s="132"/>
      <c r="FE1019" s="129"/>
      <c r="FF1019" s="129"/>
      <c r="FG1019" s="132"/>
      <c r="FH1019" s="129"/>
      <c r="FI1019" s="129"/>
      <c r="FJ1019" s="132"/>
      <c r="FK1019" s="129"/>
      <c r="FL1019" s="129"/>
      <c r="FM1019" s="132"/>
      <c r="FN1019" s="129"/>
      <c r="FO1019" s="129"/>
      <c r="FP1019" s="132"/>
      <c r="FQ1019" s="129"/>
      <c r="FR1019" s="129"/>
      <c r="FS1019" s="132"/>
      <c r="FT1019" s="129"/>
      <c r="FU1019" s="129"/>
      <c r="FV1019" s="132"/>
      <c r="FW1019" s="129"/>
      <c r="FX1019" s="129"/>
      <c r="FY1019" s="132"/>
      <c r="FZ1019" s="129"/>
      <c r="GA1019" s="129"/>
      <c r="GB1019" s="132"/>
      <c r="GC1019" s="129"/>
      <c r="GD1019" s="129"/>
      <c r="GE1019" s="132"/>
      <c r="GF1019" s="129"/>
      <c r="GG1019" s="129"/>
      <c r="GH1019" s="132"/>
      <c r="GI1019" s="129"/>
      <c r="GJ1019" s="129"/>
      <c r="GK1019" s="132"/>
      <c r="GL1019" s="129"/>
      <c r="GM1019" s="129"/>
      <c r="GN1019" s="132"/>
      <c r="GO1019" s="129"/>
      <c r="GP1019" s="129"/>
      <c r="GQ1019" s="132"/>
      <c r="GR1019" s="129"/>
      <c r="GS1019" s="129"/>
      <c r="GT1019" s="132"/>
      <c r="GU1019" s="129"/>
      <c r="GV1019" s="129"/>
      <c r="GW1019" s="132"/>
      <c r="GX1019" s="129"/>
      <c r="GY1019" s="129"/>
      <c r="GZ1019" s="132"/>
      <c r="HA1019" s="129"/>
      <c r="HB1019" s="129"/>
      <c r="HC1019" s="132"/>
      <c r="HD1019" s="129"/>
      <c r="HE1019" s="129"/>
      <c r="HF1019" s="132"/>
      <c r="HG1019" s="129"/>
      <c r="HH1019" s="129"/>
      <c r="HI1019" s="132"/>
      <c r="HJ1019" s="129"/>
      <c r="HK1019" s="129"/>
      <c r="HL1019" s="132"/>
      <c r="HM1019" s="129"/>
      <c r="HN1019" s="129"/>
      <c r="HO1019" s="132"/>
      <c r="HP1019" s="129"/>
      <c r="HQ1019" s="129"/>
      <c r="HR1019" s="132"/>
      <c r="HS1019" s="129"/>
      <c r="HT1019" s="129"/>
      <c r="HU1019" s="132"/>
      <c r="HV1019" s="129"/>
      <c r="HW1019" s="129"/>
      <c r="HX1019" s="132"/>
      <c r="HY1019" s="129"/>
      <c r="HZ1019" s="129"/>
      <c r="IA1019" s="132"/>
      <c r="IB1019" s="129"/>
      <c r="IC1019" s="129"/>
      <c r="ID1019" s="132"/>
      <c r="IE1019" s="129"/>
      <c r="IF1019" s="129"/>
      <c r="IG1019" s="132"/>
      <c r="IH1019" s="129"/>
      <c r="II1019" s="129"/>
      <c r="IJ1019" s="132"/>
      <c r="IK1019" s="129"/>
      <c r="IL1019" s="129"/>
      <c r="IM1019" s="132"/>
      <c r="IN1019" s="129"/>
      <c r="IO1019" s="129"/>
      <c r="IP1019" s="132"/>
      <c r="IQ1019" s="129"/>
      <c r="IR1019" s="129"/>
      <c r="IS1019" s="132"/>
      <c r="IT1019" s="129"/>
      <c r="IU1019" s="129"/>
      <c r="IV1019" s="132"/>
    </row>
    <row r="1020" spans="1:256" ht="15.75">
      <c r="A1020" s="156"/>
      <c r="B1020" s="118"/>
      <c r="C1020" s="132" t="s">
        <v>823</v>
      </c>
      <c r="D1020" s="129"/>
      <c r="E1020" s="129"/>
      <c r="F1020" s="130"/>
      <c r="G1020" s="399"/>
      <c r="H1020" s="120"/>
      <c r="I1020" s="417"/>
      <c r="J1020" s="120"/>
      <c r="K1020" s="404"/>
      <c r="L1020" s="120">
        <f t="shared" si="325"/>
        <v>0</v>
      </c>
      <c r="M1020" s="120">
        <f t="shared" si="326"/>
        <v>0</v>
      </c>
      <c r="N1020" s="120">
        <f t="shared" si="318"/>
        <v>0</v>
      </c>
      <c r="O1020" s="404">
        <f t="shared" si="327"/>
        <v>0</v>
      </c>
      <c r="P1020" s="127">
        <f t="shared" si="328"/>
        <v>0</v>
      </c>
      <c r="Q1020" s="159"/>
      <c r="R1020" s="159"/>
      <c r="S1020" s="156"/>
      <c r="T1020" s="159"/>
      <c r="U1020" s="159"/>
      <c r="V1020" s="156"/>
      <c r="W1020" s="159"/>
      <c r="X1020" s="159"/>
      <c r="Y1020" s="156"/>
      <c r="Z1020" s="159"/>
      <c r="AA1020" s="159"/>
      <c r="AB1020" s="156"/>
      <c r="AC1020" s="159"/>
      <c r="AD1020" s="159"/>
      <c r="AE1020" s="156"/>
      <c r="AF1020" s="159"/>
      <c r="AG1020" s="159"/>
      <c r="AH1020" s="156"/>
      <c r="AI1020" s="159"/>
      <c r="AJ1020" s="159"/>
      <c r="AK1020" s="156"/>
      <c r="AL1020" s="159"/>
      <c r="AM1020" s="159"/>
      <c r="AN1020" s="156"/>
      <c r="AO1020" s="159"/>
      <c r="AP1020" s="159"/>
      <c r="AQ1020" s="156"/>
      <c r="AR1020" s="159"/>
      <c r="AS1020" s="159"/>
      <c r="AT1020" s="156"/>
      <c r="AU1020" s="159"/>
      <c r="AV1020" s="159"/>
      <c r="AW1020" s="156"/>
      <c r="AX1020" s="159"/>
      <c r="AY1020" s="159"/>
      <c r="AZ1020" s="156"/>
      <c r="BA1020" s="159"/>
      <c r="BB1020" s="159"/>
      <c r="BC1020" s="156"/>
      <c r="BD1020" s="159"/>
      <c r="BE1020" s="159"/>
      <c r="BF1020" s="156"/>
      <c r="BG1020" s="159"/>
      <c r="BH1020" s="159"/>
      <c r="BI1020" s="156"/>
      <c r="BJ1020" s="159"/>
      <c r="BK1020" s="159"/>
      <c r="BL1020" s="156"/>
      <c r="BM1020" s="159"/>
      <c r="BN1020" s="159"/>
      <c r="BO1020" s="156"/>
      <c r="BP1020" s="159"/>
      <c r="BQ1020" s="159"/>
      <c r="BR1020" s="156"/>
      <c r="BS1020" s="159"/>
      <c r="BT1020" s="159"/>
      <c r="BU1020" s="156"/>
      <c r="BV1020" s="159"/>
      <c r="BW1020" s="159"/>
      <c r="BX1020" s="156"/>
      <c r="BY1020" s="159"/>
      <c r="BZ1020" s="159"/>
      <c r="CA1020" s="156"/>
      <c r="CB1020" s="159"/>
      <c r="CC1020" s="159"/>
      <c r="CD1020" s="156"/>
      <c r="CE1020" s="159"/>
      <c r="CF1020" s="159"/>
      <c r="CG1020" s="156"/>
      <c r="CH1020" s="159"/>
      <c r="CI1020" s="159"/>
      <c r="CJ1020" s="156"/>
      <c r="CK1020" s="159"/>
      <c r="CL1020" s="159"/>
      <c r="CM1020" s="156"/>
      <c r="CN1020" s="159"/>
      <c r="CO1020" s="159"/>
      <c r="CP1020" s="156"/>
      <c r="CQ1020" s="159"/>
      <c r="CR1020" s="159"/>
      <c r="CS1020" s="156"/>
      <c r="CT1020" s="159"/>
      <c r="CU1020" s="159"/>
      <c r="CV1020" s="156"/>
      <c r="CW1020" s="159"/>
      <c r="CX1020" s="159"/>
      <c r="CY1020" s="156"/>
      <c r="CZ1020" s="159"/>
      <c r="DA1020" s="159"/>
      <c r="DB1020" s="156"/>
      <c r="DC1020" s="159"/>
      <c r="DD1020" s="159"/>
      <c r="DE1020" s="156"/>
      <c r="DF1020" s="159"/>
      <c r="DG1020" s="159"/>
      <c r="DH1020" s="156"/>
      <c r="DI1020" s="159"/>
      <c r="DJ1020" s="159"/>
      <c r="DK1020" s="156"/>
      <c r="DL1020" s="159"/>
      <c r="DM1020" s="159"/>
      <c r="DN1020" s="156"/>
      <c r="DO1020" s="159"/>
      <c r="DP1020" s="159"/>
      <c r="DQ1020" s="156"/>
      <c r="DR1020" s="159"/>
      <c r="DS1020" s="159"/>
      <c r="DT1020" s="156"/>
      <c r="DU1020" s="159"/>
      <c r="DV1020" s="159"/>
      <c r="DW1020" s="156"/>
      <c r="DX1020" s="159"/>
      <c r="DY1020" s="159"/>
      <c r="DZ1020" s="156"/>
      <c r="EA1020" s="159"/>
      <c r="EB1020" s="159"/>
      <c r="EC1020" s="156"/>
      <c r="ED1020" s="159"/>
      <c r="EE1020" s="159"/>
      <c r="EF1020" s="156"/>
      <c r="EG1020" s="159"/>
      <c r="EH1020" s="159"/>
      <c r="EI1020" s="156"/>
      <c r="EJ1020" s="159"/>
      <c r="EK1020" s="159"/>
      <c r="EL1020" s="156"/>
      <c r="EM1020" s="159"/>
      <c r="EN1020" s="159"/>
      <c r="EO1020" s="156"/>
      <c r="EP1020" s="159"/>
      <c r="EQ1020" s="159"/>
      <c r="ER1020" s="156"/>
      <c r="ES1020" s="159"/>
      <c r="ET1020" s="159"/>
      <c r="EU1020" s="156"/>
      <c r="EV1020" s="159"/>
      <c r="EW1020" s="159"/>
      <c r="EX1020" s="156"/>
      <c r="EY1020" s="159"/>
      <c r="EZ1020" s="159"/>
      <c r="FA1020" s="156"/>
      <c r="FB1020" s="159"/>
      <c r="FC1020" s="159"/>
      <c r="FD1020" s="156"/>
      <c r="FE1020" s="159"/>
      <c r="FF1020" s="159"/>
      <c r="FG1020" s="156"/>
      <c r="FH1020" s="159"/>
      <c r="FI1020" s="159"/>
      <c r="FJ1020" s="156"/>
      <c r="FK1020" s="159"/>
      <c r="FL1020" s="159"/>
      <c r="FM1020" s="156"/>
      <c r="FN1020" s="159"/>
      <c r="FO1020" s="159"/>
      <c r="FP1020" s="156"/>
      <c r="FQ1020" s="159"/>
      <c r="FR1020" s="159"/>
      <c r="FS1020" s="156"/>
      <c r="FT1020" s="159"/>
      <c r="FU1020" s="159"/>
      <c r="FV1020" s="156"/>
      <c r="FW1020" s="159"/>
      <c r="FX1020" s="159"/>
      <c r="FY1020" s="156"/>
      <c r="FZ1020" s="159"/>
      <c r="GA1020" s="159"/>
      <c r="GB1020" s="156"/>
      <c r="GC1020" s="159"/>
      <c r="GD1020" s="159"/>
      <c r="GE1020" s="156"/>
      <c r="GF1020" s="159"/>
      <c r="GG1020" s="159"/>
      <c r="GH1020" s="156"/>
      <c r="GI1020" s="159"/>
      <c r="GJ1020" s="159"/>
      <c r="GK1020" s="156"/>
      <c r="GL1020" s="159"/>
      <c r="GM1020" s="159"/>
      <c r="GN1020" s="156"/>
      <c r="GO1020" s="159"/>
      <c r="GP1020" s="159"/>
      <c r="GQ1020" s="156"/>
      <c r="GR1020" s="159"/>
      <c r="GS1020" s="159"/>
      <c r="GT1020" s="156"/>
      <c r="GU1020" s="159"/>
      <c r="GV1020" s="159"/>
      <c r="GW1020" s="156"/>
      <c r="GX1020" s="159"/>
      <c r="GY1020" s="159"/>
      <c r="GZ1020" s="156"/>
      <c r="HA1020" s="159"/>
      <c r="HB1020" s="159"/>
      <c r="HC1020" s="156"/>
      <c r="HD1020" s="159"/>
      <c r="HE1020" s="159"/>
      <c r="HF1020" s="156"/>
      <c r="HG1020" s="159"/>
      <c r="HH1020" s="159"/>
      <c r="HI1020" s="156"/>
      <c r="HJ1020" s="159"/>
      <c r="HK1020" s="159"/>
      <c r="HL1020" s="156"/>
      <c r="HM1020" s="159"/>
      <c r="HN1020" s="159"/>
      <c r="HO1020" s="156"/>
      <c r="HP1020" s="159"/>
      <c r="HQ1020" s="159"/>
      <c r="HR1020" s="156"/>
      <c r="HS1020" s="159"/>
      <c r="HT1020" s="159"/>
      <c r="HU1020" s="156"/>
      <c r="HV1020" s="159"/>
      <c r="HW1020" s="159"/>
      <c r="HX1020" s="156"/>
      <c r="HY1020" s="159"/>
      <c r="HZ1020" s="159"/>
      <c r="IA1020" s="156"/>
      <c r="IB1020" s="159"/>
      <c r="IC1020" s="159"/>
      <c r="ID1020" s="156"/>
      <c r="IE1020" s="159"/>
      <c r="IF1020" s="159"/>
      <c r="IG1020" s="156"/>
      <c r="IH1020" s="159"/>
      <c r="II1020" s="159"/>
      <c r="IJ1020" s="156"/>
      <c r="IK1020" s="159"/>
      <c r="IL1020" s="159"/>
      <c r="IM1020" s="156"/>
      <c r="IN1020" s="159"/>
      <c r="IO1020" s="159"/>
      <c r="IP1020" s="156"/>
      <c r="IQ1020" s="159"/>
      <c r="IR1020" s="159"/>
      <c r="IS1020" s="156"/>
      <c r="IT1020" s="159"/>
      <c r="IU1020" s="159"/>
      <c r="IV1020" s="156"/>
    </row>
    <row r="1021" spans="1:256" ht="15.75">
      <c r="A1021" s="132"/>
      <c r="B1021" s="147" t="s">
        <v>822</v>
      </c>
      <c r="C1021" s="132" t="s">
        <v>824</v>
      </c>
      <c r="D1021" s="129"/>
      <c r="E1021" s="129"/>
      <c r="F1021" s="130"/>
      <c r="G1021" s="399"/>
      <c r="H1021" s="120"/>
      <c r="I1021" s="417"/>
      <c r="J1021" s="120"/>
      <c r="K1021" s="404"/>
      <c r="L1021" s="120">
        <f t="shared" si="325"/>
        <v>0</v>
      </c>
      <c r="M1021" s="120">
        <f t="shared" si="326"/>
        <v>0</v>
      </c>
      <c r="N1021" s="120">
        <f t="shared" si="318"/>
        <v>0</v>
      </c>
      <c r="O1021" s="404">
        <f t="shared" si="327"/>
        <v>0</v>
      </c>
      <c r="P1021" s="127">
        <f t="shared" si="328"/>
        <v>0</v>
      </c>
      <c r="Q1021" s="129"/>
      <c r="R1021" s="129"/>
      <c r="S1021" s="132"/>
      <c r="T1021" s="129"/>
      <c r="U1021" s="129"/>
      <c r="V1021" s="132"/>
      <c r="W1021" s="129"/>
      <c r="X1021" s="129"/>
      <c r="Y1021" s="132"/>
      <c r="Z1021" s="129"/>
      <c r="AA1021" s="129"/>
      <c r="AB1021" s="132"/>
      <c r="AC1021" s="129"/>
      <c r="AD1021" s="129"/>
      <c r="AE1021" s="132"/>
      <c r="AF1021" s="129"/>
      <c r="AG1021" s="129"/>
      <c r="AH1021" s="132"/>
      <c r="AI1021" s="129"/>
      <c r="AJ1021" s="129"/>
      <c r="AK1021" s="132"/>
      <c r="AL1021" s="129"/>
      <c r="AM1021" s="129"/>
      <c r="AN1021" s="132"/>
      <c r="AO1021" s="129"/>
      <c r="AP1021" s="129"/>
      <c r="AQ1021" s="132"/>
      <c r="AR1021" s="129"/>
      <c r="AS1021" s="129"/>
      <c r="AT1021" s="132"/>
      <c r="AU1021" s="129"/>
      <c r="AV1021" s="129"/>
      <c r="AW1021" s="132"/>
      <c r="AX1021" s="129"/>
      <c r="AY1021" s="129"/>
      <c r="AZ1021" s="132"/>
      <c r="BA1021" s="129"/>
      <c r="BB1021" s="129"/>
      <c r="BC1021" s="132"/>
      <c r="BD1021" s="129"/>
      <c r="BE1021" s="129"/>
      <c r="BF1021" s="132"/>
      <c r="BG1021" s="129"/>
      <c r="BH1021" s="129"/>
      <c r="BI1021" s="132"/>
      <c r="BJ1021" s="129"/>
      <c r="BK1021" s="129"/>
      <c r="BL1021" s="132"/>
      <c r="BM1021" s="129"/>
      <c r="BN1021" s="129"/>
      <c r="BO1021" s="132"/>
      <c r="BP1021" s="129"/>
      <c r="BQ1021" s="129"/>
      <c r="BR1021" s="132"/>
      <c r="BS1021" s="129"/>
      <c r="BT1021" s="129"/>
      <c r="BU1021" s="132"/>
      <c r="BV1021" s="129"/>
      <c r="BW1021" s="129"/>
      <c r="BX1021" s="132"/>
      <c r="BY1021" s="129"/>
      <c r="BZ1021" s="129"/>
      <c r="CA1021" s="132"/>
      <c r="CB1021" s="129"/>
      <c r="CC1021" s="129"/>
      <c r="CD1021" s="132"/>
      <c r="CE1021" s="129"/>
      <c r="CF1021" s="129"/>
      <c r="CG1021" s="132"/>
      <c r="CH1021" s="129"/>
      <c r="CI1021" s="129"/>
      <c r="CJ1021" s="132"/>
      <c r="CK1021" s="129"/>
      <c r="CL1021" s="129"/>
      <c r="CM1021" s="132"/>
      <c r="CN1021" s="129"/>
      <c r="CO1021" s="129"/>
      <c r="CP1021" s="132"/>
      <c r="CQ1021" s="129"/>
      <c r="CR1021" s="129"/>
      <c r="CS1021" s="132"/>
      <c r="CT1021" s="129"/>
      <c r="CU1021" s="129"/>
      <c r="CV1021" s="132"/>
      <c r="CW1021" s="129"/>
      <c r="CX1021" s="129"/>
      <c r="CY1021" s="132"/>
      <c r="CZ1021" s="129"/>
      <c r="DA1021" s="129"/>
      <c r="DB1021" s="132"/>
      <c r="DC1021" s="129"/>
      <c r="DD1021" s="129"/>
      <c r="DE1021" s="132"/>
      <c r="DF1021" s="129"/>
      <c r="DG1021" s="129"/>
      <c r="DH1021" s="132"/>
      <c r="DI1021" s="129"/>
      <c r="DJ1021" s="129"/>
      <c r="DK1021" s="132"/>
      <c r="DL1021" s="129"/>
      <c r="DM1021" s="129"/>
      <c r="DN1021" s="132"/>
      <c r="DO1021" s="129"/>
      <c r="DP1021" s="129"/>
      <c r="DQ1021" s="132"/>
      <c r="DR1021" s="129"/>
      <c r="DS1021" s="129"/>
      <c r="DT1021" s="132"/>
      <c r="DU1021" s="129"/>
      <c r="DV1021" s="129"/>
      <c r="DW1021" s="132"/>
      <c r="DX1021" s="129"/>
      <c r="DY1021" s="129"/>
      <c r="DZ1021" s="132"/>
      <c r="EA1021" s="129"/>
      <c r="EB1021" s="129"/>
      <c r="EC1021" s="132"/>
      <c r="ED1021" s="129"/>
      <c r="EE1021" s="129"/>
      <c r="EF1021" s="132"/>
      <c r="EG1021" s="129"/>
      <c r="EH1021" s="129"/>
      <c r="EI1021" s="132"/>
      <c r="EJ1021" s="129"/>
      <c r="EK1021" s="129"/>
      <c r="EL1021" s="132"/>
      <c r="EM1021" s="129"/>
      <c r="EN1021" s="129"/>
      <c r="EO1021" s="132"/>
      <c r="EP1021" s="129"/>
      <c r="EQ1021" s="129"/>
      <c r="ER1021" s="132"/>
      <c r="ES1021" s="129"/>
      <c r="ET1021" s="129"/>
      <c r="EU1021" s="132"/>
      <c r="EV1021" s="129"/>
      <c r="EW1021" s="129"/>
      <c r="EX1021" s="132"/>
      <c r="EY1021" s="129"/>
      <c r="EZ1021" s="129"/>
      <c r="FA1021" s="132"/>
      <c r="FB1021" s="129"/>
      <c r="FC1021" s="129"/>
      <c r="FD1021" s="132"/>
      <c r="FE1021" s="129"/>
      <c r="FF1021" s="129"/>
      <c r="FG1021" s="132"/>
      <c r="FH1021" s="129"/>
      <c r="FI1021" s="129"/>
      <c r="FJ1021" s="132"/>
      <c r="FK1021" s="129"/>
      <c r="FL1021" s="129"/>
      <c r="FM1021" s="132"/>
      <c r="FN1021" s="129"/>
      <c r="FO1021" s="129"/>
      <c r="FP1021" s="132"/>
      <c r="FQ1021" s="129"/>
      <c r="FR1021" s="129"/>
      <c r="FS1021" s="132"/>
      <c r="FT1021" s="129"/>
      <c r="FU1021" s="129"/>
      <c r="FV1021" s="132"/>
      <c r="FW1021" s="129"/>
      <c r="FX1021" s="129"/>
      <c r="FY1021" s="132"/>
      <c r="FZ1021" s="129"/>
      <c r="GA1021" s="129"/>
      <c r="GB1021" s="132"/>
      <c r="GC1021" s="129"/>
      <c r="GD1021" s="129"/>
      <c r="GE1021" s="132"/>
      <c r="GF1021" s="129"/>
      <c r="GG1021" s="129"/>
      <c r="GH1021" s="132"/>
      <c r="GI1021" s="129"/>
      <c r="GJ1021" s="129"/>
      <c r="GK1021" s="132"/>
      <c r="GL1021" s="129"/>
      <c r="GM1021" s="129"/>
      <c r="GN1021" s="132"/>
      <c r="GO1021" s="129"/>
      <c r="GP1021" s="129"/>
      <c r="GQ1021" s="132"/>
      <c r="GR1021" s="129"/>
      <c r="GS1021" s="129"/>
      <c r="GT1021" s="132"/>
      <c r="GU1021" s="129"/>
      <c r="GV1021" s="129"/>
      <c r="GW1021" s="132"/>
      <c r="GX1021" s="129"/>
      <c r="GY1021" s="129"/>
      <c r="GZ1021" s="132"/>
      <c r="HA1021" s="129"/>
      <c r="HB1021" s="129"/>
      <c r="HC1021" s="132"/>
      <c r="HD1021" s="129"/>
      <c r="HE1021" s="129"/>
      <c r="HF1021" s="132"/>
      <c r="HG1021" s="129"/>
      <c r="HH1021" s="129"/>
      <c r="HI1021" s="132"/>
      <c r="HJ1021" s="129"/>
      <c r="HK1021" s="129"/>
      <c r="HL1021" s="132"/>
      <c r="HM1021" s="129"/>
      <c r="HN1021" s="129"/>
      <c r="HO1021" s="132"/>
      <c r="HP1021" s="129"/>
      <c r="HQ1021" s="129"/>
      <c r="HR1021" s="132"/>
      <c r="HS1021" s="129"/>
      <c r="HT1021" s="129"/>
      <c r="HU1021" s="132"/>
      <c r="HV1021" s="129"/>
      <c r="HW1021" s="129"/>
      <c r="HX1021" s="132"/>
      <c r="HY1021" s="129"/>
      <c r="HZ1021" s="129"/>
      <c r="IA1021" s="132"/>
      <c r="IB1021" s="129"/>
      <c r="IC1021" s="129"/>
      <c r="ID1021" s="132"/>
      <c r="IE1021" s="129"/>
      <c r="IF1021" s="129"/>
      <c r="IG1021" s="132"/>
      <c r="IH1021" s="129"/>
      <c r="II1021" s="129"/>
      <c r="IJ1021" s="132"/>
      <c r="IK1021" s="129"/>
      <c r="IL1021" s="129"/>
      <c r="IM1021" s="132"/>
      <c r="IN1021" s="129"/>
      <c r="IO1021" s="129"/>
      <c r="IP1021" s="132"/>
      <c r="IQ1021" s="129"/>
      <c r="IR1021" s="129"/>
      <c r="IS1021" s="132"/>
      <c r="IT1021" s="129"/>
      <c r="IU1021" s="129"/>
      <c r="IV1021" s="132"/>
    </row>
    <row r="1022" spans="1:256" ht="15.75">
      <c r="A1022" s="132"/>
      <c r="B1022" s="118"/>
      <c r="C1022" s="132" t="s">
        <v>843</v>
      </c>
      <c r="D1022" s="129"/>
      <c r="E1022" s="129"/>
      <c r="F1022" s="130"/>
      <c r="G1022" s="399" t="s">
        <v>663</v>
      </c>
      <c r="H1022" s="120">
        <v>72.040000000000006</v>
      </c>
      <c r="I1022" s="417">
        <v>15840</v>
      </c>
      <c r="J1022" s="120">
        <v>5581.6933500000005</v>
      </c>
      <c r="K1022" s="404"/>
      <c r="L1022" s="120">
        <f t="shared" si="325"/>
        <v>5581.6933500000005</v>
      </c>
      <c r="M1022" s="120">
        <f t="shared" si="326"/>
        <v>1141113.6000000001</v>
      </c>
      <c r="N1022" s="120">
        <f t="shared" si="318"/>
        <v>402105.18893400009</v>
      </c>
      <c r="O1022" s="404">
        <f t="shared" si="327"/>
        <v>0</v>
      </c>
      <c r="P1022" s="127">
        <f t="shared" si="328"/>
        <v>402105.18893400009</v>
      </c>
      <c r="Q1022" s="129"/>
      <c r="R1022" s="129"/>
      <c r="S1022" s="132"/>
      <c r="T1022" s="129"/>
      <c r="U1022" s="129"/>
      <c r="V1022" s="132"/>
      <c r="W1022" s="129"/>
      <c r="X1022" s="129"/>
      <c r="Y1022" s="132"/>
      <c r="Z1022" s="129"/>
      <c r="AA1022" s="129"/>
      <c r="AB1022" s="132"/>
      <c r="AC1022" s="129"/>
      <c r="AD1022" s="129"/>
      <c r="AE1022" s="132"/>
      <c r="AF1022" s="129"/>
      <c r="AG1022" s="129"/>
      <c r="AH1022" s="132"/>
      <c r="AI1022" s="129"/>
      <c r="AJ1022" s="129"/>
      <c r="AK1022" s="132"/>
      <c r="AL1022" s="129"/>
      <c r="AM1022" s="129"/>
      <c r="AN1022" s="132"/>
      <c r="AO1022" s="129"/>
      <c r="AP1022" s="129"/>
      <c r="AQ1022" s="132"/>
      <c r="AR1022" s="129"/>
      <c r="AS1022" s="129"/>
      <c r="AT1022" s="132"/>
      <c r="AU1022" s="129"/>
      <c r="AV1022" s="129"/>
      <c r="AW1022" s="132"/>
      <c r="AX1022" s="129"/>
      <c r="AY1022" s="129"/>
      <c r="AZ1022" s="132"/>
      <c r="BA1022" s="129"/>
      <c r="BB1022" s="129"/>
      <c r="BC1022" s="132"/>
      <c r="BD1022" s="129"/>
      <c r="BE1022" s="129"/>
      <c r="BF1022" s="132"/>
      <c r="BG1022" s="129"/>
      <c r="BH1022" s="129"/>
      <c r="BI1022" s="132"/>
      <c r="BJ1022" s="129"/>
      <c r="BK1022" s="129"/>
      <c r="BL1022" s="132"/>
      <c r="BM1022" s="129"/>
      <c r="BN1022" s="129"/>
      <c r="BO1022" s="132"/>
      <c r="BP1022" s="129"/>
      <c r="BQ1022" s="129"/>
      <c r="BR1022" s="132"/>
      <c r="BS1022" s="129"/>
      <c r="BT1022" s="129"/>
      <c r="BU1022" s="132"/>
      <c r="BV1022" s="129"/>
      <c r="BW1022" s="129"/>
      <c r="BX1022" s="132"/>
      <c r="BY1022" s="129"/>
      <c r="BZ1022" s="129"/>
      <c r="CA1022" s="132"/>
      <c r="CB1022" s="129"/>
      <c r="CC1022" s="129"/>
      <c r="CD1022" s="132"/>
      <c r="CE1022" s="129"/>
      <c r="CF1022" s="129"/>
      <c r="CG1022" s="132"/>
      <c r="CH1022" s="129"/>
      <c r="CI1022" s="129"/>
      <c r="CJ1022" s="132"/>
      <c r="CK1022" s="129"/>
      <c r="CL1022" s="129"/>
      <c r="CM1022" s="132"/>
      <c r="CN1022" s="129"/>
      <c r="CO1022" s="129"/>
      <c r="CP1022" s="132"/>
      <c r="CQ1022" s="129"/>
      <c r="CR1022" s="129"/>
      <c r="CS1022" s="132"/>
      <c r="CT1022" s="129"/>
      <c r="CU1022" s="129"/>
      <c r="CV1022" s="132"/>
      <c r="CW1022" s="129"/>
      <c r="CX1022" s="129"/>
      <c r="CY1022" s="132"/>
      <c r="CZ1022" s="129"/>
      <c r="DA1022" s="129"/>
      <c r="DB1022" s="132"/>
      <c r="DC1022" s="129"/>
      <c r="DD1022" s="129"/>
      <c r="DE1022" s="132"/>
      <c r="DF1022" s="129"/>
      <c r="DG1022" s="129"/>
      <c r="DH1022" s="132"/>
      <c r="DI1022" s="129"/>
      <c r="DJ1022" s="129"/>
      <c r="DK1022" s="132"/>
      <c r="DL1022" s="129"/>
      <c r="DM1022" s="129"/>
      <c r="DN1022" s="132"/>
      <c r="DO1022" s="129"/>
      <c r="DP1022" s="129"/>
      <c r="DQ1022" s="132"/>
      <c r="DR1022" s="129"/>
      <c r="DS1022" s="129"/>
      <c r="DT1022" s="132"/>
      <c r="DU1022" s="129"/>
      <c r="DV1022" s="129"/>
      <c r="DW1022" s="132"/>
      <c r="DX1022" s="129"/>
      <c r="DY1022" s="129"/>
      <c r="DZ1022" s="132"/>
      <c r="EA1022" s="129"/>
      <c r="EB1022" s="129"/>
      <c r="EC1022" s="132"/>
      <c r="ED1022" s="129"/>
      <c r="EE1022" s="129"/>
      <c r="EF1022" s="132"/>
      <c r="EG1022" s="129"/>
      <c r="EH1022" s="129"/>
      <c r="EI1022" s="132"/>
      <c r="EJ1022" s="129"/>
      <c r="EK1022" s="129"/>
      <c r="EL1022" s="132"/>
      <c r="EM1022" s="129"/>
      <c r="EN1022" s="129"/>
      <c r="EO1022" s="132"/>
      <c r="EP1022" s="129"/>
      <c r="EQ1022" s="129"/>
      <c r="ER1022" s="132"/>
      <c r="ES1022" s="129"/>
      <c r="ET1022" s="129"/>
      <c r="EU1022" s="132"/>
      <c r="EV1022" s="129"/>
      <c r="EW1022" s="129"/>
      <c r="EX1022" s="132"/>
      <c r="EY1022" s="129"/>
      <c r="EZ1022" s="129"/>
      <c r="FA1022" s="132"/>
      <c r="FB1022" s="129"/>
      <c r="FC1022" s="129"/>
      <c r="FD1022" s="132"/>
      <c r="FE1022" s="129"/>
      <c r="FF1022" s="129"/>
      <c r="FG1022" s="132"/>
      <c r="FH1022" s="129"/>
      <c r="FI1022" s="129"/>
      <c r="FJ1022" s="132"/>
      <c r="FK1022" s="129"/>
      <c r="FL1022" s="129"/>
      <c r="FM1022" s="132"/>
      <c r="FN1022" s="129"/>
      <c r="FO1022" s="129"/>
      <c r="FP1022" s="132"/>
      <c r="FQ1022" s="129"/>
      <c r="FR1022" s="129"/>
      <c r="FS1022" s="132"/>
      <c r="FT1022" s="129"/>
      <c r="FU1022" s="129"/>
      <c r="FV1022" s="132"/>
      <c r="FW1022" s="129"/>
      <c r="FX1022" s="129"/>
      <c r="FY1022" s="132"/>
      <c r="FZ1022" s="129"/>
      <c r="GA1022" s="129"/>
      <c r="GB1022" s="132"/>
      <c r="GC1022" s="129"/>
      <c r="GD1022" s="129"/>
      <c r="GE1022" s="132"/>
      <c r="GF1022" s="129"/>
      <c r="GG1022" s="129"/>
      <c r="GH1022" s="132"/>
      <c r="GI1022" s="129"/>
      <c r="GJ1022" s="129"/>
      <c r="GK1022" s="132"/>
      <c r="GL1022" s="129"/>
      <c r="GM1022" s="129"/>
      <c r="GN1022" s="132"/>
      <c r="GO1022" s="129"/>
      <c r="GP1022" s="129"/>
      <c r="GQ1022" s="132"/>
      <c r="GR1022" s="129"/>
      <c r="GS1022" s="129"/>
      <c r="GT1022" s="132"/>
      <c r="GU1022" s="129"/>
      <c r="GV1022" s="129"/>
      <c r="GW1022" s="132"/>
      <c r="GX1022" s="129"/>
      <c r="GY1022" s="129"/>
      <c r="GZ1022" s="132"/>
      <c r="HA1022" s="129"/>
      <c r="HB1022" s="129"/>
      <c r="HC1022" s="132"/>
      <c r="HD1022" s="129"/>
      <c r="HE1022" s="129"/>
      <c r="HF1022" s="132"/>
      <c r="HG1022" s="129"/>
      <c r="HH1022" s="129"/>
      <c r="HI1022" s="132"/>
      <c r="HJ1022" s="129"/>
      <c r="HK1022" s="129"/>
      <c r="HL1022" s="132"/>
      <c r="HM1022" s="129"/>
      <c r="HN1022" s="129"/>
      <c r="HO1022" s="132"/>
      <c r="HP1022" s="129"/>
      <c r="HQ1022" s="129"/>
      <c r="HR1022" s="132"/>
      <c r="HS1022" s="129"/>
      <c r="HT1022" s="129"/>
      <c r="HU1022" s="132"/>
      <c r="HV1022" s="129"/>
      <c r="HW1022" s="129"/>
      <c r="HX1022" s="132"/>
      <c r="HY1022" s="129"/>
      <c r="HZ1022" s="129"/>
      <c r="IA1022" s="132"/>
      <c r="IB1022" s="129"/>
      <c r="IC1022" s="129"/>
      <c r="ID1022" s="132"/>
      <c r="IE1022" s="129"/>
      <c r="IF1022" s="129"/>
      <c r="IG1022" s="132"/>
      <c r="IH1022" s="129"/>
      <c r="II1022" s="129"/>
      <c r="IJ1022" s="132"/>
      <c r="IK1022" s="129"/>
      <c r="IL1022" s="129"/>
      <c r="IM1022" s="132"/>
      <c r="IN1022" s="129"/>
      <c r="IO1022" s="129"/>
      <c r="IP1022" s="132"/>
      <c r="IQ1022" s="129"/>
      <c r="IR1022" s="129"/>
      <c r="IS1022" s="132"/>
      <c r="IT1022" s="129"/>
      <c r="IU1022" s="129"/>
      <c r="IV1022" s="132"/>
    </row>
    <row r="1023" spans="1:256" ht="15.75">
      <c r="A1023" s="156"/>
      <c r="B1023" s="118"/>
      <c r="C1023" s="132"/>
      <c r="D1023" s="129"/>
      <c r="E1023" s="129"/>
      <c r="F1023" s="130"/>
      <c r="G1023" s="399"/>
      <c r="H1023" s="120"/>
      <c r="I1023" s="417"/>
      <c r="J1023" s="120"/>
      <c r="K1023" s="404"/>
      <c r="L1023" s="120">
        <f>J1023+K1023</f>
        <v>0</v>
      </c>
      <c r="M1023" s="120">
        <f>H1023*I1023</f>
        <v>0</v>
      </c>
      <c r="N1023" s="120">
        <f t="shared" si="318"/>
        <v>0</v>
      </c>
      <c r="O1023" s="404">
        <f>H1023*K1023</f>
        <v>0</v>
      </c>
      <c r="P1023" s="127">
        <f t="shared" si="328"/>
        <v>0</v>
      </c>
      <c r="Q1023" s="159"/>
      <c r="R1023" s="159"/>
      <c r="S1023" s="156"/>
      <c r="T1023" s="159"/>
      <c r="U1023" s="159"/>
      <c r="V1023" s="156"/>
      <c r="W1023" s="159"/>
      <c r="X1023" s="159"/>
      <c r="Y1023" s="156"/>
      <c r="Z1023" s="159"/>
      <c r="AA1023" s="159"/>
      <c r="AB1023" s="156"/>
      <c r="AC1023" s="159"/>
      <c r="AD1023" s="159"/>
      <c r="AE1023" s="156"/>
      <c r="AF1023" s="159"/>
      <c r="AG1023" s="159"/>
      <c r="AH1023" s="156"/>
      <c r="AI1023" s="159"/>
      <c r="AJ1023" s="159"/>
      <c r="AK1023" s="156"/>
      <c r="AL1023" s="159"/>
      <c r="AM1023" s="159"/>
      <c r="AN1023" s="156"/>
      <c r="AO1023" s="159"/>
      <c r="AP1023" s="159"/>
      <c r="AQ1023" s="156"/>
      <c r="AR1023" s="159"/>
      <c r="AS1023" s="159"/>
      <c r="AT1023" s="156"/>
      <c r="AU1023" s="159"/>
      <c r="AV1023" s="159"/>
      <c r="AW1023" s="156"/>
      <c r="AX1023" s="159"/>
      <c r="AY1023" s="159"/>
      <c r="AZ1023" s="156"/>
      <c r="BA1023" s="159"/>
      <c r="BB1023" s="159"/>
      <c r="BC1023" s="156"/>
      <c r="BD1023" s="159"/>
      <c r="BE1023" s="159"/>
      <c r="BF1023" s="156"/>
      <c r="BG1023" s="159"/>
      <c r="BH1023" s="159"/>
      <c r="BI1023" s="156"/>
      <c r="BJ1023" s="159"/>
      <c r="BK1023" s="159"/>
      <c r="BL1023" s="156"/>
      <c r="BM1023" s="159"/>
      <c r="BN1023" s="159"/>
      <c r="BO1023" s="156"/>
      <c r="BP1023" s="159"/>
      <c r="BQ1023" s="159"/>
      <c r="BR1023" s="156"/>
      <c r="BS1023" s="159"/>
      <c r="BT1023" s="159"/>
      <c r="BU1023" s="156"/>
      <c r="BV1023" s="159"/>
      <c r="BW1023" s="159"/>
      <c r="BX1023" s="156"/>
      <c r="BY1023" s="159"/>
      <c r="BZ1023" s="159"/>
      <c r="CA1023" s="156"/>
      <c r="CB1023" s="159"/>
      <c r="CC1023" s="159"/>
      <c r="CD1023" s="156"/>
      <c r="CE1023" s="159"/>
      <c r="CF1023" s="159"/>
      <c r="CG1023" s="156"/>
      <c r="CH1023" s="159"/>
      <c r="CI1023" s="159"/>
      <c r="CJ1023" s="156"/>
      <c r="CK1023" s="159"/>
      <c r="CL1023" s="159"/>
      <c r="CM1023" s="156"/>
      <c r="CN1023" s="159"/>
      <c r="CO1023" s="159"/>
      <c r="CP1023" s="156"/>
      <c r="CQ1023" s="159"/>
      <c r="CR1023" s="159"/>
      <c r="CS1023" s="156"/>
      <c r="CT1023" s="159"/>
      <c r="CU1023" s="159"/>
      <c r="CV1023" s="156"/>
      <c r="CW1023" s="159"/>
      <c r="CX1023" s="159"/>
      <c r="CY1023" s="156"/>
      <c r="CZ1023" s="159"/>
      <c r="DA1023" s="159"/>
      <c r="DB1023" s="156"/>
      <c r="DC1023" s="159"/>
      <c r="DD1023" s="159"/>
      <c r="DE1023" s="156"/>
      <c r="DF1023" s="159"/>
      <c r="DG1023" s="159"/>
      <c r="DH1023" s="156"/>
      <c r="DI1023" s="159"/>
      <c r="DJ1023" s="159"/>
      <c r="DK1023" s="156"/>
      <c r="DL1023" s="159"/>
      <c r="DM1023" s="159"/>
      <c r="DN1023" s="156"/>
      <c r="DO1023" s="159"/>
      <c r="DP1023" s="159"/>
      <c r="DQ1023" s="156"/>
      <c r="DR1023" s="159"/>
      <c r="DS1023" s="159"/>
      <c r="DT1023" s="156"/>
      <c r="DU1023" s="159"/>
      <c r="DV1023" s="159"/>
      <c r="DW1023" s="156"/>
      <c r="DX1023" s="159"/>
      <c r="DY1023" s="159"/>
      <c r="DZ1023" s="156"/>
      <c r="EA1023" s="159"/>
      <c r="EB1023" s="159"/>
      <c r="EC1023" s="156"/>
      <c r="ED1023" s="159"/>
      <c r="EE1023" s="159"/>
      <c r="EF1023" s="156"/>
      <c r="EG1023" s="159"/>
      <c r="EH1023" s="159"/>
      <c r="EI1023" s="156"/>
      <c r="EJ1023" s="159"/>
      <c r="EK1023" s="159"/>
      <c r="EL1023" s="156"/>
      <c r="EM1023" s="159"/>
      <c r="EN1023" s="159"/>
      <c r="EO1023" s="156"/>
      <c r="EP1023" s="159"/>
      <c r="EQ1023" s="159"/>
      <c r="ER1023" s="156"/>
      <c r="ES1023" s="159"/>
      <c r="ET1023" s="159"/>
      <c r="EU1023" s="156"/>
      <c r="EV1023" s="159"/>
      <c r="EW1023" s="159"/>
      <c r="EX1023" s="156"/>
      <c r="EY1023" s="159"/>
      <c r="EZ1023" s="159"/>
      <c r="FA1023" s="156"/>
      <c r="FB1023" s="159"/>
      <c r="FC1023" s="159"/>
      <c r="FD1023" s="156"/>
      <c r="FE1023" s="159"/>
      <c r="FF1023" s="159"/>
      <c r="FG1023" s="156"/>
      <c r="FH1023" s="159"/>
      <c r="FI1023" s="159"/>
      <c r="FJ1023" s="156"/>
      <c r="FK1023" s="159"/>
      <c r="FL1023" s="159"/>
      <c r="FM1023" s="156"/>
      <c r="FN1023" s="159"/>
      <c r="FO1023" s="159"/>
      <c r="FP1023" s="156"/>
      <c r="FQ1023" s="159"/>
      <c r="FR1023" s="159"/>
      <c r="FS1023" s="156"/>
      <c r="FT1023" s="159"/>
      <c r="FU1023" s="159"/>
      <c r="FV1023" s="156"/>
      <c r="FW1023" s="159"/>
      <c r="FX1023" s="159"/>
      <c r="FY1023" s="156"/>
      <c r="FZ1023" s="159"/>
      <c r="GA1023" s="159"/>
      <c r="GB1023" s="156"/>
      <c r="GC1023" s="159"/>
      <c r="GD1023" s="159"/>
      <c r="GE1023" s="156"/>
      <c r="GF1023" s="159"/>
      <c r="GG1023" s="159"/>
      <c r="GH1023" s="156"/>
      <c r="GI1023" s="159"/>
      <c r="GJ1023" s="159"/>
      <c r="GK1023" s="156"/>
      <c r="GL1023" s="159"/>
      <c r="GM1023" s="159"/>
      <c r="GN1023" s="156"/>
      <c r="GO1023" s="159"/>
      <c r="GP1023" s="159"/>
      <c r="GQ1023" s="156"/>
      <c r="GR1023" s="159"/>
      <c r="GS1023" s="159"/>
      <c r="GT1023" s="156"/>
      <c r="GU1023" s="159"/>
      <c r="GV1023" s="159"/>
      <c r="GW1023" s="156"/>
      <c r="GX1023" s="159"/>
      <c r="GY1023" s="159"/>
      <c r="GZ1023" s="156"/>
      <c r="HA1023" s="159"/>
      <c r="HB1023" s="159"/>
      <c r="HC1023" s="156"/>
      <c r="HD1023" s="159"/>
      <c r="HE1023" s="159"/>
      <c r="HF1023" s="156"/>
      <c r="HG1023" s="159"/>
      <c r="HH1023" s="159"/>
      <c r="HI1023" s="156"/>
      <c r="HJ1023" s="159"/>
      <c r="HK1023" s="159"/>
      <c r="HL1023" s="156"/>
      <c r="HM1023" s="159"/>
      <c r="HN1023" s="159"/>
      <c r="HO1023" s="156"/>
      <c r="HP1023" s="159"/>
      <c r="HQ1023" s="159"/>
      <c r="HR1023" s="156"/>
      <c r="HS1023" s="159"/>
      <c r="HT1023" s="159"/>
      <c r="HU1023" s="156"/>
      <c r="HV1023" s="159"/>
      <c r="HW1023" s="159"/>
      <c r="HX1023" s="156"/>
      <c r="HY1023" s="159"/>
      <c r="HZ1023" s="159"/>
      <c r="IA1023" s="156"/>
      <c r="IB1023" s="159"/>
      <c r="IC1023" s="159"/>
      <c r="ID1023" s="156"/>
      <c r="IE1023" s="159"/>
      <c r="IF1023" s="159"/>
      <c r="IG1023" s="156"/>
      <c r="IH1023" s="159"/>
      <c r="II1023" s="159"/>
      <c r="IJ1023" s="156"/>
      <c r="IK1023" s="159"/>
      <c r="IL1023" s="159"/>
      <c r="IM1023" s="156"/>
      <c r="IN1023" s="159"/>
      <c r="IO1023" s="159"/>
      <c r="IP1023" s="156"/>
      <c r="IQ1023" s="159"/>
      <c r="IR1023" s="159"/>
      <c r="IS1023" s="156"/>
      <c r="IT1023" s="159"/>
      <c r="IU1023" s="159"/>
      <c r="IV1023" s="156"/>
    </row>
    <row r="1024" spans="1:256" ht="15.75">
      <c r="A1024" s="132"/>
      <c r="B1024" s="118" t="s">
        <v>826</v>
      </c>
      <c r="C1024" s="132" t="s">
        <v>825</v>
      </c>
      <c r="D1024" s="129"/>
      <c r="E1024" s="129"/>
      <c r="F1024" s="130"/>
      <c r="G1024" s="399"/>
      <c r="H1024" s="120"/>
      <c r="I1024" s="417"/>
      <c r="J1024" s="120"/>
      <c r="K1024" s="404"/>
      <c r="L1024" s="120"/>
      <c r="M1024" s="120">
        <f>H1024*I1024</f>
        <v>0</v>
      </c>
      <c r="N1024" s="120">
        <f t="shared" si="318"/>
        <v>0</v>
      </c>
      <c r="O1024" s="404"/>
      <c r="P1024" s="127">
        <f t="shared" si="328"/>
        <v>0</v>
      </c>
      <c r="Q1024" s="129"/>
      <c r="R1024" s="129"/>
      <c r="S1024" s="132"/>
      <c r="T1024" s="129"/>
      <c r="U1024" s="129"/>
      <c r="V1024" s="132"/>
      <c r="W1024" s="129"/>
      <c r="X1024" s="129"/>
      <c r="Y1024" s="132"/>
      <c r="Z1024" s="129"/>
      <c r="AA1024" s="129"/>
      <c r="AB1024" s="132"/>
      <c r="AC1024" s="129"/>
      <c r="AD1024" s="129"/>
      <c r="AE1024" s="132"/>
      <c r="AF1024" s="129"/>
      <c r="AG1024" s="129"/>
      <c r="AH1024" s="132"/>
      <c r="AI1024" s="129"/>
      <c r="AJ1024" s="129"/>
      <c r="AK1024" s="132"/>
      <c r="AL1024" s="129"/>
      <c r="AM1024" s="129"/>
      <c r="AN1024" s="132"/>
      <c r="AO1024" s="129"/>
      <c r="AP1024" s="129"/>
      <c r="AQ1024" s="132"/>
      <c r="AR1024" s="129"/>
      <c r="AS1024" s="129"/>
      <c r="AT1024" s="132"/>
      <c r="AU1024" s="129"/>
      <c r="AV1024" s="129"/>
      <c r="AW1024" s="132"/>
      <c r="AX1024" s="129"/>
      <c r="AY1024" s="129"/>
      <c r="AZ1024" s="132"/>
      <c r="BA1024" s="129"/>
      <c r="BB1024" s="129"/>
      <c r="BC1024" s="132"/>
      <c r="BD1024" s="129"/>
      <c r="BE1024" s="129"/>
      <c r="BF1024" s="132"/>
      <c r="BG1024" s="129"/>
      <c r="BH1024" s="129"/>
      <c r="BI1024" s="132"/>
      <c r="BJ1024" s="129"/>
      <c r="BK1024" s="129"/>
      <c r="BL1024" s="132"/>
      <c r="BM1024" s="129"/>
      <c r="BN1024" s="129"/>
      <c r="BO1024" s="132"/>
      <c r="BP1024" s="129"/>
      <c r="BQ1024" s="129"/>
      <c r="BR1024" s="132"/>
      <c r="BS1024" s="129"/>
      <c r="BT1024" s="129"/>
      <c r="BU1024" s="132"/>
      <c r="BV1024" s="129"/>
      <c r="BW1024" s="129"/>
      <c r="BX1024" s="132"/>
      <c r="BY1024" s="129"/>
      <c r="BZ1024" s="129"/>
      <c r="CA1024" s="132"/>
      <c r="CB1024" s="129"/>
      <c r="CC1024" s="129"/>
      <c r="CD1024" s="132"/>
      <c r="CE1024" s="129"/>
      <c r="CF1024" s="129"/>
      <c r="CG1024" s="132"/>
      <c r="CH1024" s="129"/>
      <c r="CI1024" s="129"/>
      <c r="CJ1024" s="132"/>
      <c r="CK1024" s="129"/>
      <c r="CL1024" s="129"/>
      <c r="CM1024" s="132"/>
      <c r="CN1024" s="129"/>
      <c r="CO1024" s="129"/>
      <c r="CP1024" s="132"/>
      <c r="CQ1024" s="129"/>
      <c r="CR1024" s="129"/>
      <c r="CS1024" s="132"/>
      <c r="CT1024" s="129"/>
      <c r="CU1024" s="129"/>
      <c r="CV1024" s="132"/>
      <c r="CW1024" s="129"/>
      <c r="CX1024" s="129"/>
      <c r="CY1024" s="132"/>
      <c r="CZ1024" s="129"/>
      <c r="DA1024" s="129"/>
      <c r="DB1024" s="132"/>
      <c r="DC1024" s="129"/>
      <c r="DD1024" s="129"/>
      <c r="DE1024" s="132"/>
      <c r="DF1024" s="129"/>
      <c r="DG1024" s="129"/>
      <c r="DH1024" s="132"/>
      <c r="DI1024" s="129"/>
      <c r="DJ1024" s="129"/>
      <c r="DK1024" s="132"/>
      <c r="DL1024" s="129"/>
      <c r="DM1024" s="129"/>
      <c r="DN1024" s="132"/>
      <c r="DO1024" s="129"/>
      <c r="DP1024" s="129"/>
      <c r="DQ1024" s="132"/>
      <c r="DR1024" s="129"/>
      <c r="DS1024" s="129"/>
      <c r="DT1024" s="132"/>
      <c r="DU1024" s="129"/>
      <c r="DV1024" s="129"/>
      <c r="DW1024" s="132"/>
      <c r="DX1024" s="129"/>
      <c r="DY1024" s="129"/>
      <c r="DZ1024" s="132"/>
      <c r="EA1024" s="129"/>
      <c r="EB1024" s="129"/>
      <c r="EC1024" s="132"/>
      <c r="ED1024" s="129"/>
      <c r="EE1024" s="129"/>
      <c r="EF1024" s="132"/>
      <c r="EG1024" s="129"/>
      <c r="EH1024" s="129"/>
      <c r="EI1024" s="132"/>
      <c r="EJ1024" s="129"/>
      <c r="EK1024" s="129"/>
      <c r="EL1024" s="132"/>
      <c r="EM1024" s="129"/>
      <c r="EN1024" s="129"/>
      <c r="EO1024" s="132"/>
      <c r="EP1024" s="129"/>
      <c r="EQ1024" s="129"/>
      <c r="ER1024" s="132"/>
      <c r="ES1024" s="129"/>
      <c r="ET1024" s="129"/>
      <c r="EU1024" s="132"/>
      <c r="EV1024" s="129"/>
      <c r="EW1024" s="129"/>
      <c r="EX1024" s="132"/>
      <c r="EY1024" s="129"/>
      <c r="EZ1024" s="129"/>
      <c r="FA1024" s="132"/>
      <c r="FB1024" s="129"/>
      <c r="FC1024" s="129"/>
      <c r="FD1024" s="132"/>
      <c r="FE1024" s="129"/>
      <c r="FF1024" s="129"/>
      <c r="FG1024" s="132"/>
      <c r="FH1024" s="129"/>
      <c r="FI1024" s="129"/>
      <c r="FJ1024" s="132"/>
      <c r="FK1024" s="129"/>
      <c r="FL1024" s="129"/>
      <c r="FM1024" s="132"/>
      <c r="FN1024" s="129"/>
      <c r="FO1024" s="129"/>
      <c r="FP1024" s="132"/>
      <c r="FQ1024" s="129"/>
      <c r="FR1024" s="129"/>
      <c r="FS1024" s="132"/>
      <c r="FT1024" s="129"/>
      <c r="FU1024" s="129"/>
      <c r="FV1024" s="132"/>
      <c r="FW1024" s="129"/>
      <c r="FX1024" s="129"/>
      <c r="FY1024" s="132"/>
      <c r="FZ1024" s="129"/>
      <c r="GA1024" s="129"/>
      <c r="GB1024" s="132"/>
      <c r="GC1024" s="129"/>
      <c r="GD1024" s="129"/>
      <c r="GE1024" s="132"/>
      <c r="GF1024" s="129"/>
      <c r="GG1024" s="129"/>
      <c r="GH1024" s="132"/>
      <c r="GI1024" s="129"/>
      <c r="GJ1024" s="129"/>
      <c r="GK1024" s="132"/>
      <c r="GL1024" s="129"/>
      <c r="GM1024" s="129"/>
      <c r="GN1024" s="132"/>
      <c r="GO1024" s="129"/>
      <c r="GP1024" s="129"/>
      <c r="GQ1024" s="132"/>
      <c r="GR1024" s="129"/>
      <c r="GS1024" s="129"/>
      <c r="GT1024" s="132"/>
      <c r="GU1024" s="129"/>
      <c r="GV1024" s="129"/>
      <c r="GW1024" s="132"/>
      <c r="GX1024" s="129"/>
      <c r="GY1024" s="129"/>
      <c r="GZ1024" s="132"/>
      <c r="HA1024" s="129"/>
      <c r="HB1024" s="129"/>
      <c r="HC1024" s="132"/>
      <c r="HD1024" s="129"/>
      <c r="HE1024" s="129"/>
      <c r="HF1024" s="132"/>
      <c r="HG1024" s="129"/>
      <c r="HH1024" s="129"/>
      <c r="HI1024" s="132"/>
      <c r="HJ1024" s="129"/>
      <c r="HK1024" s="129"/>
      <c r="HL1024" s="132"/>
      <c r="HM1024" s="129"/>
      <c r="HN1024" s="129"/>
      <c r="HO1024" s="132"/>
      <c r="HP1024" s="129"/>
      <c r="HQ1024" s="129"/>
      <c r="HR1024" s="132"/>
      <c r="HS1024" s="129"/>
      <c r="HT1024" s="129"/>
      <c r="HU1024" s="132"/>
      <c r="HV1024" s="129"/>
      <c r="HW1024" s="129"/>
      <c r="HX1024" s="132"/>
      <c r="HY1024" s="129"/>
      <c r="HZ1024" s="129"/>
      <c r="IA1024" s="132"/>
      <c r="IB1024" s="129"/>
      <c r="IC1024" s="129"/>
      <c r="ID1024" s="132"/>
      <c r="IE1024" s="129"/>
      <c r="IF1024" s="129"/>
      <c r="IG1024" s="132"/>
      <c r="IH1024" s="129"/>
      <c r="II1024" s="129"/>
      <c r="IJ1024" s="132"/>
      <c r="IK1024" s="129"/>
      <c r="IL1024" s="129"/>
      <c r="IM1024" s="132"/>
      <c r="IN1024" s="129"/>
      <c r="IO1024" s="129"/>
      <c r="IP1024" s="132"/>
      <c r="IQ1024" s="129"/>
      <c r="IR1024" s="129"/>
      <c r="IS1024" s="132"/>
      <c r="IT1024" s="129"/>
      <c r="IU1024" s="129"/>
      <c r="IV1024" s="132"/>
    </row>
    <row r="1025" spans="1:256" ht="15.75">
      <c r="A1025" s="132"/>
      <c r="B1025" s="118"/>
      <c r="C1025" s="132" t="s">
        <v>844</v>
      </c>
      <c r="D1025" s="129"/>
      <c r="E1025" s="129"/>
      <c r="F1025" s="130"/>
      <c r="G1025" s="399" t="s">
        <v>663</v>
      </c>
      <c r="H1025" s="120">
        <v>252.49</v>
      </c>
      <c r="I1025" s="417">
        <v>2700</v>
      </c>
      <c r="J1025" s="120">
        <v>4579.3932999999997</v>
      </c>
      <c r="K1025" s="404"/>
      <c r="L1025" s="120">
        <f>J1025+K1025</f>
        <v>4579.3932999999997</v>
      </c>
      <c r="M1025" s="120">
        <f>H1025*I1025</f>
        <v>681723</v>
      </c>
      <c r="N1025" s="120">
        <f t="shared" si="318"/>
        <v>1156251.0143170001</v>
      </c>
      <c r="O1025" s="404">
        <f>H1025*K1025</f>
        <v>0</v>
      </c>
      <c r="P1025" s="127">
        <f>H1025*L1025</f>
        <v>1156251.0143170001</v>
      </c>
      <c r="Q1025" s="129"/>
      <c r="R1025" s="129"/>
      <c r="S1025" s="132"/>
      <c r="T1025" s="129"/>
      <c r="U1025" s="129"/>
      <c r="V1025" s="132"/>
      <c r="W1025" s="129"/>
      <c r="X1025" s="129"/>
      <c r="Y1025" s="132"/>
      <c r="Z1025" s="129"/>
      <c r="AA1025" s="129"/>
      <c r="AB1025" s="132"/>
      <c r="AC1025" s="129"/>
      <c r="AD1025" s="129"/>
      <c r="AE1025" s="132"/>
      <c r="AF1025" s="129"/>
      <c r="AG1025" s="129"/>
      <c r="AH1025" s="132"/>
      <c r="AI1025" s="129"/>
      <c r="AJ1025" s="129"/>
      <c r="AK1025" s="132"/>
      <c r="AL1025" s="129"/>
      <c r="AM1025" s="129"/>
      <c r="AN1025" s="132"/>
      <c r="AO1025" s="129"/>
      <c r="AP1025" s="129"/>
      <c r="AQ1025" s="132"/>
      <c r="AR1025" s="129"/>
      <c r="AS1025" s="129"/>
      <c r="AT1025" s="132"/>
      <c r="AU1025" s="129"/>
      <c r="AV1025" s="129"/>
      <c r="AW1025" s="132"/>
      <c r="AX1025" s="129"/>
      <c r="AY1025" s="129"/>
      <c r="AZ1025" s="132"/>
      <c r="BA1025" s="129"/>
      <c r="BB1025" s="129"/>
      <c r="BC1025" s="132"/>
      <c r="BD1025" s="129"/>
      <c r="BE1025" s="129"/>
      <c r="BF1025" s="132"/>
      <c r="BG1025" s="129"/>
      <c r="BH1025" s="129"/>
      <c r="BI1025" s="132"/>
      <c r="BJ1025" s="129"/>
      <c r="BK1025" s="129"/>
      <c r="BL1025" s="132"/>
      <c r="BM1025" s="129"/>
      <c r="BN1025" s="129"/>
      <c r="BO1025" s="132"/>
      <c r="BP1025" s="129"/>
      <c r="BQ1025" s="129"/>
      <c r="BR1025" s="132"/>
      <c r="BS1025" s="129"/>
      <c r="BT1025" s="129"/>
      <c r="BU1025" s="132"/>
      <c r="BV1025" s="129"/>
      <c r="BW1025" s="129"/>
      <c r="BX1025" s="132"/>
      <c r="BY1025" s="129"/>
      <c r="BZ1025" s="129"/>
      <c r="CA1025" s="132"/>
      <c r="CB1025" s="129"/>
      <c r="CC1025" s="129"/>
      <c r="CD1025" s="132"/>
      <c r="CE1025" s="129"/>
      <c r="CF1025" s="129"/>
      <c r="CG1025" s="132"/>
      <c r="CH1025" s="129"/>
      <c r="CI1025" s="129"/>
      <c r="CJ1025" s="132"/>
      <c r="CK1025" s="129"/>
      <c r="CL1025" s="129"/>
      <c r="CM1025" s="132"/>
      <c r="CN1025" s="129"/>
      <c r="CO1025" s="129"/>
      <c r="CP1025" s="132"/>
      <c r="CQ1025" s="129"/>
      <c r="CR1025" s="129"/>
      <c r="CS1025" s="132"/>
      <c r="CT1025" s="129"/>
      <c r="CU1025" s="129"/>
      <c r="CV1025" s="132"/>
      <c r="CW1025" s="129"/>
      <c r="CX1025" s="129"/>
      <c r="CY1025" s="132"/>
      <c r="CZ1025" s="129"/>
      <c r="DA1025" s="129"/>
      <c r="DB1025" s="132"/>
      <c r="DC1025" s="129"/>
      <c r="DD1025" s="129"/>
      <c r="DE1025" s="132"/>
      <c r="DF1025" s="129"/>
      <c r="DG1025" s="129"/>
      <c r="DH1025" s="132"/>
      <c r="DI1025" s="129"/>
      <c r="DJ1025" s="129"/>
      <c r="DK1025" s="132"/>
      <c r="DL1025" s="129"/>
      <c r="DM1025" s="129"/>
      <c r="DN1025" s="132"/>
      <c r="DO1025" s="129"/>
      <c r="DP1025" s="129"/>
      <c r="DQ1025" s="132"/>
      <c r="DR1025" s="129"/>
      <c r="DS1025" s="129"/>
      <c r="DT1025" s="132"/>
      <c r="DU1025" s="129"/>
      <c r="DV1025" s="129"/>
      <c r="DW1025" s="132"/>
      <c r="DX1025" s="129"/>
      <c r="DY1025" s="129"/>
      <c r="DZ1025" s="132"/>
      <c r="EA1025" s="129"/>
      <c r="EB1025" s="129"/>
      <c r="EC1025" s="132"/>
      <c r="ED1025" s="129"/>
      <c r="EE1025" s="129"/>
      <c r="EF1025" s="132"/>
      <c r="EG1025" s="129"/>
      <c r="EH1025" s="129"/>
      <c r="EI1025" s="132"/>
      <c r="EJ1025" s="129"/>
      <c r="EK1025" s="129"/>
      <c r="EL1025" s="132"/>
      <c r="EM1025" s="129"/>
      <c r="EN1025" s="129"/>
      <c r="EO1025" s="132"/>
      <c r="EP1025" s="129"/>
      <c r="EQ1025" s="129"/>
      <c r="ER1025" s="132"/>
      <c r="ES1025" s="129"/>
      <c r="ET1025" s="129"/>
      <c r="EU1025" s="132"/>
      <c r="EV1025" s="129"/>
      <c r="EW1025" s="129"/>
      <c r="EX1025" s="132"/>
      <c r="EY1025" s="129"/>
      <c r="EZ1025" s="129"/>
      <c r="FA1025" s="132"/>
      <c r="FB1025" s="129"/>
      <c r="FC1025" s="129"/>
      <c r="FD1025" s="132"/>
      <c r="FE1025" s="129"/>
      <c r="FF1025" s="129"/>
      <c r="FG1025" s="132"/>
      <c r="FH1025" s="129"/>
      <c r="FI1025" s="129"/>
      <c r="FJ1025" s="132"/>
      <c r="FK1025" s="129"/>
      <c r="FL1025" s="129"/>
      <c r="FM1025" s="132"/>
      <c r="FN1025" s="129"/>
      <c r="FO1025" s="129"/>
      <c r="FP1025" s="132"/>
      <c r="FQ1025" s="129"/>
      <c r="FR1025" s="129"/>
      <c r="FS1025" s="132"/>
      <c r="FT1025" s="129"/>
      <c r="FU1025" s="129"/>
      <c r="FV1025" s="132"/>
      <c r="FW1025" s="129"/>
      <c r="FX1025" s="129"/>
      <c r="FY1025" s="132"/>
      <c r="FZ1025" s="129"/>
      <c r="GA1025" s="129"/>
      <c r="GB1025" s="132"/>
      <c r="GC1025" s="129"/>
      <c r="GD1025" s="129"/>
      <c r="GE1025" s="132"/>
      <c r="GF1025" s="129"/>
      <c r="GG1025" s="129"/>
      <c r="GH1025" s="132"/>
      <c r="GI1025" s="129"/>
      <c r="GJ1025" s="129"/>
      <c r="GK1025" s="132"/>
      <c r="GL1025" s="129"/>
      <c r="GM1025" s="129"/>
      <c r="GN1025" s="132"/>
      <c r="GO1025" s="129"/>
      <c r="GP1025" s="129"/>
      <c r="GQ1025" s="132"/>
      <c r="GR1025" s="129"/>
      <c r="GS1025" s="129"/>
      <c r="GT1025" s="132"/>
      <c r="GU1025" s="129"/>
      <c r="GV1025" s="129"/>
      <c r="GW1025" s="132"/>
      <c r="GX1025" s="129"/>
      <c r="GY1025" s="129"/>
      <c r="GZ1025" s="132"/>
      <c r="HA1025" s="129"/>
      <c r="HB1025" s="129"/>
      <c r="HC1025" s="132"/>
      <c r="HD1025" s="129"/>
      <c r="HE1025" s="129"/>
      <c r="HF1025" s="132"/>
      <c r="HG1025" s="129"/>
      <c r="HH1025" s="129"/>
      <c r="HI1025" s="132"/>
      <c r="HJ1025" s="129"/>
      <c r="HK1025" s="129"/>
      <c r="HL1025" s="132"/>
      <c r="HM1025" s="129"/>
      <c r="HN1025" s="129"/>
      <c r="HO1025" s="132"/>
      <c r="HP1025" s="129"/>
      <c r="HQ1025" s="129"/>
      <c r="HR1025" s="132"/>
      <c r="HS1025" s="129"/>
      <c r="HT1025" s="129"/>
      <c r="HU1025" s="132"/>
      <c r="HV1025" s="129"/>
      <c r="HW1025" s="129"/>
      <c r="HX1025" s="132"/>
      <c r="HY1025" s="129"/>
      <c r="HZ1025" s="129"/>
      <c r="IA1025" s="132"/>
      <c r="IB1025" s="129"/>
      <c r="IC1025" s="129"/>
      <c r="ID1025" s="132"/>
      <c r="IE1025" s="129"/>
      <c r="IF1025" s="129"/>
      <c r="IG1025" s="132"/>
      <c r="IH1025" s="129"/>
      <c r="II1025" s="129"/>
      <c r="IJ1025" s="132"/>
      <c r="IK1025" s="129"/>
      <c r="IL1025" s="129"/>
      <c r="IM1025" s="132"/>
      <c r="IN1025" s="129"/>
      <c r="IO1025" s="129"/>
      <c r="IP1025" s="132"/>
      <c r="IQ1025" s="129"/>
      <c r="IR1025" s="129"/>
      <c r="IS1025" s="132"/>
      <c r="IT1025" s="129"/>
      <c r="IU1025" s="129"/>
      <c r="IV1025" s="132"/>
    </row>
    <row r="1026" spans="1:256" ht="15.75">
      <c r="A1026" s="156"/>
      <c r="B1026" s="147"/>
      <c r="C1026" s="132"/>
      <c r="D1026" s="129"/>
      <c r="E1026" s="129"/>
      <c r="F1026" s="130"/>
      <c r="G1026" s="399"/>
      <c r="H1026" s="120"/>
      <c r="I1026" s="417"/>
      <c r="J1026" s="120"/>
      <c r="K1026" s="404"/>
      <c r="L1026" s="120"/>
      <c r="M1026" s="120"/>
      <c r="N1026" s="120"/>
      <c r="O1026" s="404"/>
      <c r="P1026" s="127"/>
      <c r="Q1026" s="159"/>
      <c r="R1026" s="159"/>
      <c r="S1026" s="156"/>
      <c r="T1026" s="159"/>
      <c r="U1026" s="159"/>
      <c r="V1026" s="156"/>
      <c r="W1026" s="159"/>
      <c r="X1026" s="159"/>
      <c r="Y1026" s="156"/>
      <c r="Z1026" s="159"/>
      <c r="AA1026" s="159"/>
      <c r="AB1026" s="156"/>
      <c r="AC1026" s="159"/>
      <c r="AD1026" s="159"/>
      <c r="AE1026" s="156"/>
      <c r="AF1026" s="159"/>
      <c r="AG1026" s="159"/>
      <c r="AH1026" s="156"/>
      <c r="AI1026" s="159"/>
      <c r="AJ1026" s="159"/>
      <c r="AK1026" s="156"/>
      <c r="AL1026" s="159"/>
      <c r="AM1026" s="159"/>
      <c r="AN1026" s="156"/>
      <c r="AO1026" s="159"/>
      <c r="AP1026" s="159"/>
      <c r="AQ1026" s="156"/>
      <c r="AR1026" s="159"/>
      <c r="AS1026" s="159"/>
      <c r="AT1026" s="156"/>
      <c r="AU1026" s="159"/>
      <c r="AV1026" s="159"/>
      <c r="AW1026" s="156"/>
      <c r="AX1026" s="159"/>
      <c r="AY1026" s="159"/>
      <c r="AZ1026" s="156"/>
      <c r="BA1026" s="159"/>
      <c r="BB1026" s="159"/>
      <c r="BC1026" s="156"/>
      <c r="BD1026" s="159"/>
      <c r="BE1026" s="159"/>
      <c r="BF1026" s="156"/>
      <c r="BG1026" s="159"/>
      <c r="BH1026" s="159"/>
      <c r="BI1026" s="156"/>
      <c r="BJ1026" s="159"/>
      <c r="BK1026" s="159"/>
      <c r="BL1026" s="156"/>
      <c r="BM1026" s="159"/>
      <c r="BN1026" s="159"/>
      <c r="BO1026" s="156"/>
      <c r="BP1026" s="159"/>
      <c r="BQ1026" s="159"/>
      <c r="BR1026" s="156"/>
      <c r="BS1026" s="159"/>
      <c r="BT1026" s="159"/>
      <c r="BU1026" s="156"/>
      <c r="BV1026" s="159"/>
      <c r="BW1026" s="159"/>
      <c r="BX1026" s="156"/>
      <c r="BY1026" s="159"/>
      <c r="BZ1026" s="159"/>
      <c r="CA1026" s="156"/>
      <c r="CB1026" s="159"/>
      <c r="CC1026" s="159"/>
      <c r="CD1026" s="156"/>
      <c r="CE1026" s="159"/>
      <c r="CF1026" s="159"/>
      <c r="CG1026" s="156"/>
      <c r="CH1026" s="159"/>
      <c r="CI1026" s="159"/>
      <c r="CJ1026" s="156"/>
      <c r="CK1026" s="159"/>
      <c r="CL1026" s="159"/>
      <c r="CM1026" s="156"/>
      <c r="CN1026" s="159"/>
      <c r="CO1026" s="159"/>
      <c r="CP1026" s="156"/>
      <c r="CQ1026" s="159"/>
      <c r="CR1026" s="159"/>
      <c r="CS1026" s="156"/>
      <c r="CT1026" s="159"/>
      <c r="CU1026" s="159"/>
      <c r="CV1026" s="156"/>
      <c r="CW1026" s="159"/>
      <c r="CX1026" s="159"/>
      <c r="CY1026" s="156"/>
      <c r="CZ1026" s="159"/>
      <c r="DA1026" s="159"/>
      <c r="DB1026" s="156"/>
      <c r="DC1026" s="159"/>
      <c r="DD1026" s="159"/>
      <c r="DE1026" s="156"/>
      <c r="DF1026" s="159"/>
      <c r="DG1026" s="159"/>
      <c r="DH1026" s="156"/>
      <c r="DI1026" s="159"/>
      <c r="DJ1026" s="159"/>
      <c r="DK1026" s="156"/>
      <c r="DL1026" s="159"/>
      <c r="DM1026" s="159"/>
      <c r="DN1026" s="156"/>
      <c r="DO1026" s="159"/>
      <c r="DP1026" s="159"/>
      <c r="DQ1026" s="156"/>
      <c r="DR1026" s="159"/>
      <c r="DS1026" s="159"/>
      <c r="DT1026" s="156"/>
      <c r="DU1026" s="159"/>
      <c r="DV1026" s="159"/>
      <c r="DW1026" s="156"/>
      <c r="DX1026" s="159"/>
      <c r="DY1026" s="159"/>
      <c r="DZ1026" s="156"/>
      <c r="EA1026" s="159"/>
      <c r="EB1026" s="159"/>
      <c r="EC1026" s="156"/>
      <c r="ED1026" s="159"/>
      <c r="EE1026" s="159"/>
      <c r="EF1026" s="156"/>
      <c r="EG1026" s="159"/>
      <c r="EH1026" s="159"/>
      <c r="EI1026" s="156"/>
      <c r="EJ1026" s="159"/>
      <c r="EK1026" s="159"/>
      <c r="EL1026" s="156"/>
      <c r="EM1026" s="159"/>
      <c r="EN1026" s="159"/>
      <c r="EO1026" s="156"/>
      <c r="EP1026" s="159"/>
      <c r="EQ1026" s="159"/>
      <c r="ER1026" s="156"/>
      <c r="ES1026" s="159"/>
      <c r="ET1026" s="159"/>
      <c r="EU1026" s="156"/>
      <c r="EV1026" s="159"/>
      <c r="EW1026" s="159"/>
      <c r="EX1026" s="156"/>
      <c r="EY1026" s="159"/>
      <c r="EZ1026" s="159"/>
      <c r="FA1026" s="156"/>
      <c r="FB1026" s="159"/>
      <c r="FC1026" s="159"/>
      <c r="FD1026" s="156"/>
      <c r="FE1026" s="159"/>
      <c r="FF1026" s="159"/>
      <c r="FG1026" s="156"/>
      <c r="FH1026" s="159"/>
      <c r="FI1026" s="159"/>
      <c r="FJ1026" s="156"/>
      <c r="FK1026" s="159"/>
      <c r="FL1026" s="159"/>
      <c r="FM1026" s="156"/>
      <c r="FN1026" s="159"/>
      <c r="FO1026" s="159"/>
      <c r="FP1026" s="156"/>
      <c r="FQ1026" s="159"/>
      <c r="FR1026" s="159"/>
      <c r="FS1026" s="156"/>
      <c r="FT1026" s="159"/>
      <c r="FU1026" s="159"/>
      <c r="FV1026" s="156"/>
      <c r="FW1026" s="159"/>
      <c r="FX1026" s="159"/>
      <c r="FY1026" s="156"/>
      <c r="FZ1026" s="159"/>
      <c r="GA1026" s="159"/>
      <c r="GB1026" s="156"/>
      <c r="GC1026" s="159"/>
      <c r="GD1026" s="159"/>
      <c r="GE1026" s="156"/>
      <c r="GF1026" s="159"/>
      <c r="GG1026" s="159"/>
      <c r="GH1026" s="156"/>
      <c r="GI1026" s="159"/>
      <c r="GJ1026" s="159"/>
      <c r="GK1026" s="156"/>
      <c r="GL1026" s="159"/>
      <c r="GM1026" s="159"/>
      <c r="GN1026" s="156"/>
      <c r="GO1026" s="159"/>
      <c r="GP1026" s="159"/>
      <c r="GQ1026" s="156"/>
      <c r="GR1026" s="159"/>
      <c r="GS1026" s="159"/>
      <c r="GT1026" s="156"/>
      <c r="GU1026" s="159"/>
      <c r="GV1026" s="159"/>
      <c r="GW1026" s="156"/>
      <c r="GX1026" s="159"/>
      <c r="GY1026" s="159"/>
      <c r="GZ1026" s="156"/>
      <c r="HA1026" s="159"/>
      <c r="HB1026" s="159"/>
      <c r="HC1026" s="156"/>
      <c r="HD1026" s="159"/>
      <c r="HE1026" s="159"/>
      <c r="HF1026" s="156"/>
      <c r="HG1026" s="159"/>
      <c r="HH1026" s="159"/>
      <c r="HI1026" s="156"/>
      <c r="HJ1026" s="159"/>
      <c r="HK1026" s="159"/>
      <c r="HL1026" s="156"/>
      <c r="HM1026" s="159"/>
      <c r="HN1026" s="159"/>
      <c r="HO1026" s="156"/>
      <c r="HP1026" s="159"/>
      <c r="HQ1026" s="159"/>
      <c r="HR1026" s="156"/>
      <c r="HS1026" s="159"/>
      <c r="HT1026" s="159"/>
      <c r="HU1026" s="156"/>
      <c r="HV1026" s="159"/>
      <c r="HW1026" s="159"/>
      <c r="HX1026" s="156"/>
      <c r="HY1026" s="159"/>
      <c r="HZ1026" s="159"/>
      <c r="IA1026" s="156"/>
      <c r="IB1026" s="159"/>
      <c r="IC1026" s="159"/>
      <c r="ID1026" s="156"/>
      <c r="IE1026" s="159"/>
      <c r="IF1026" s="159"/>
      <c r="IG1026" s="156"/>
      <c r="IH1026" s="159"/>
      <c r="II1026" s="159"/>
      <c r="IJ1026" s="156"/>
      <c r="IK1026" s="159"/>
      <c r="IL1026" s="159"/>
      <c r="IM1026" s="156"/>
      <c r="IN1026" s="159"/>
      <c r="IO1026" s="159"/>
      <c r="IP1026" s="156"/>
      <c r="IQ1026" s="159"/>
      <c r="IR1026" s="159"/>
      <c r="IS1026" s="156"/>
      <c r="IT1026" s="159"/>
      <c r="IU1026" s="159"/>
      <c r="IV1026" s="156"/>
    </row>
    <row r="1027" spans="1:256" ht="16.5" thickBot="1">
      <c r="A1027" s="260"/>
      <c r="B1027" s="118"/>
      <c r="C1027" s="132"/>
      <c r="D1027" s="129"/>
      <c r="E1027" s="129"/>
      <c r="F1027" s="130"/>
      <c r="G1027" s="399"/>
      <c r="H1027" s="120"/>
      <c r="I1027" s="417"/>
      <c r="J1027" s="120"/>
      <c r="K1027" s="404"/>
      <c r="L1027" s="120"/>
      <c r="M1027" s="120"/>
      <c r="N1027" s="120"/>
      <c r="O1027" s="404"/>
      <c r="P1027" s="127"/>
    </row>
    <row r="1028" spans="1:256" ht="16.5" customHeight="1" thickTop="1" thickBot="1">
      <c r="A1028" s="260"/>
      <c r="B1028" s="273"/>
      <c r="C1028" s="266" t="s">
        <v>312</v>
      </c>
      <c r="D1028" s="267"/>
      <c r="E1028" s="267"/>
      <c r="F1028" s="267"/>
      <c r="G1028" s="268"/>
      <c r="H1028" s="269"/>
      <c r="I1028" s="426"/>
      <c r="J1028" s="269"/>
      <c r="K1028" s="443">
        <f t="shared" ref="K1028:L1028" si="329">SUM(K970:K1025)</f>
        <v>0</v>
      </c>
      <c r="L1028" s="270">
        <f t="shared" si="329"/>
        <v>12059.326649999999</v>
      </c>
      <c r="M1028" s="270">
        <f>SUM(M970:M1025)</f>
        <v>2756481.7778000003</v>
      </c>
      <c r="N1028" s="270">
        <f>SUM(N970:N1025)</f>
        <v>2068339.7608510002</v>
      </c>
      <c r="O1028" s="443">
        <f>SUM(O970:O1025)</f>
        <v>0</v>
      </c>
      <c r="P1028" s="270">
        <f>SUM(P970:P1025)</f>
        <v>2068339.7608510002</v>
      </c>
    </row>
    <row r="1029" spans="1:256" ht="13.5" customHeight="1" thickTop="1">
      <c r="A1029" s="260"/>
      <c r="B1029" s="793"/>
      <c r="C1029" s="794"/>
      <c r="D1029" s="795"/>
      <c r="E1029" s="795"/>
      <c r="F1029" s="795"/>
      <c r="G1029" s="801"/>
      <c r="H1029" s="796"/>
      <c r="I1029" s="797"/>
      <c r="J1029" s="796"/>
      <c r="K1029" s="747"/>
      <c r="L1029" s="798"/>
      <c r="M1029" s="798"/>
      <c r="N1029" s="798"/>
      <c r="O1029" s="747"/>
      <c r="P1029" s="799"/>
    </row>
    <row r="1030" spans="1:256" ht="13.5" customHeight="1">
      <c r="A1030" s="260"/>
      <c r="B1030" s="146" t="s">
        <v>926</v>
      </c>
      <c r="C1030" s="128" t="s">
        <v>1107</v>
      </c>
      <c r="D1030" s="795"/>
      <c r="E1030" s="795"/>
      <c r="F1030" s="795"/>
      <c r="G1030" s="802"/>
      <c r="H1030" s="796"/>
      <c r="I1030" s="797"/>
      <c r="J1030" s="796"/>
      <c r="K1030" s="747"/>
      <c r="L1030" s="798"/>
      <c r="M1030" s="798"/>
      <c r="N1030" s="798"/>
      <c r="O1030" s="747"/>
      <c r="P1030" s="799"/>
    </row>
    <row r="1031" spans="1:256" ht="13.5" customHeight="1">
      <c r="A1031" s="260"/>
      <c r="B1031" s="793"/>
      <c r="C1031" s="794"/>
      <c r="D1031" s="795"/>
      <c r="E1031" s="795"/>
      <c r="F1031" s="795"/>
      <c r="G1031" s="802"/>
      <c r="H1031" s="796"/>
      <c r="I1031" s="797"/>
      <c r="J1031" s="796"/>
      <c r="K1031" s="747"/>
      <c r="L1031" s="798"/>
      <c r="M1031" s="798"/>
      <c r="N1031" s="798"/>
      <c r="O1031" s="747"/>
      <c r="P1031" s="799"/>
    </row>
    <row r="1032" spans="1:256" ht="13.5" customHeight="1">
      <c r="A1032" s="260"/>
      <c r="B1032" s="793" t="s">
        <v>291</v>
      </c>
      <c r="C1032" s="800" t="s">
        <v>1108</v>
      </c>
      <c r="D1032" s="795"/>
      <c r="E1032" s="795"/>
      <c r="F1032" s="795"/>
      <c r="G1032" s="802"/>
      <c r="H1032" s="796"/>
      <c r="I1032" s="797"/>
      <c r="J1032" s="796"/>
      <c r="K1032" s="747"/>
      <c r="L1032" s="798"/>
      <c r="M1032" s="798"/>
      <c r="N1032" s="798"/>
      <c r="O1032" s="747"/>
      <c r="P1032" s="799"/>
    </row>
    <row r="1033" spans="1:256" ht="13.5" customHeight="1">
      <c r="A1033" s="260"/>
      <c r="B1033" s="793"/>
      <c r="C1033" s="800" t="s">
        <v>1109</v>
      </c>
      <c r="D1033" s="795"/>
      <c r="E1033" s="795"/>
      <c r="F1033" s="795"/>
      <c r="G1033" s="802"/>
      <c r="H1033" s="796"/>
      <c r="I1033" s="797"/>
      <c r="J1033" s="796"/>
      <c r="K1033" s="747"/>
      <c r="L1033" s="798"/>
      <c r="M1033" s="798"/>
      <c r="N1033" s="798"/>
      <c r="O1033" s="747"/>
      <c r="P1033" s="799"/>
    </row>
    <row r="1034" spans="1:256" ht="13.5" customHeight="1">
      <c r="A1034" s="260"/>
      <c r="B1034" s="793"/>
      <c r="C1034" s="800" t="s">
        <v>1110</v>
      </c>
      <c r="D1034" s="795"/>
      <c r="E1034" s="795"/>
      <c r="F1034" s="795"/>
      <c r="G1034" s="802"/>
      <c r="H1034" s="796"/>
      <c r="I1034" s="797"/>
      <c r="J1034" s="796"/>
      <c r="K1034" s="747"/>
      <c r="L1034" s="798"/>
      <c r="M1034" s="798"/>
      <c r="N1034" s="798"/>
      <c r="O1034" s="747"/>
      <c r="P1034" s="799"/>
    </row>
    <row r="1035" spans="1:256" ht="13.5" customHeight="1">
      <c r="A1035" s="260"/>
      <c r="B1035" s="793"/>
      <c r="C1035" s="800" t="s">
        <v>1111</v>
      </c>
      <c r="D1035" s="795"/>
      <c r="E1035" s="795"/>
      <c r="F1035" s="795"/>
      <c r="G1035" s="802"/>
      <c r="H1035" s="796"/>
      <c r="I1035" s="797"/>
      <c r="J1035" s="796"/>
      <c r="K1035" s="747"/>
      <c r="L1035" s="798"/>
      <c r="M1035" s="798"/>
      <c r="N1035" s="798"/>
      <c r="O1035" s="747"/>
      <c r="P1035" s="799"/>
    </row>
    <row r="1036" spans="1:256" ht="13.5" customHeight="1">
      <c r="A1036" s="260"/>
      <c r="B1036" s="793"/>
      <c r="C1036" s="800"/>
      <c r="D1036" s="795"/>
      <c r="E1036" s="795"/>
      <c r="F1036" s="795"/>
      <c r="G1036" s="802"/>
      <c r="H1036" s="796"/>
      <c r="I1036" s="797"/>
      <c r="J1036" s="796"/>
      <c r="K1036" s="747"/>
      <c r="L1036" s="798"/>
      <c r="M1036" s="798"/>
      <c r="N1036" s="798"/>
      <c r="O1036" s="747"/>
      <c r="P1036" s="799"/>
    </row>
    <row r="1037" spans="1:256" ht="13.5" customHeight="1">
      <c r="A1037" s="260"/>
      <c r="B1037" s="793"/>
      <c r="C1037" s="800" t="s">
        <v>1112</v>
      </c>
      <c r="D1037" s="795"/>
      <c r="E1037" s="795"/>
      <c r="F1037" s="795"/>
      <c r="G1037" s="802"/>
      <c r="H1037" s="796"/>
      <c r="I1037" s="797"/>
      <c r="J1037" s="796"/>
      <c r="K1037" s="747"/>
      <c r="L1037" s="798"/>
      <c r="M1037" s="798"/>
      <c r="N1037" s="798"/>
      <c r="O1037" s="747"/>
      <c r="P1037" s="799"/>
    </row>
    <row r="1038" spans="1:256" ht="13.5" customHeight="1">
      <c r="A1038" s="260"/>
      <c r="B1038" s="793"/>
      <c r="C1038" s="800"/>
      <c r="D1038" s="795"/>
      <c r="E1038" s="795"/>
      <c r="F1038" s="795"/>
      <c r="G1038" s="802"/>
      <c r="H1038" s="796"/>
      <c r="I1038" s="797"/>
      <c r="J1038" s="796"/>
      <c r="K1038" s="747"/>
      <c r="L1038" s="798"/>
      <c r="M1038" s="798"/>
      <c r="N1038" s="798"/>
      <c r="O1038" s="747"/>
      <c r="P1038" s="799"/>
    </row>
    <row r="1039" spans="1:256" s="807" customFormat="1" ht="13.5" customHeight="1">
      <c r="A1039" s="804"/>
      <c r="B1039" s="805"/>
      <c r="C1039" s="800" t="s">
        <v>1113</v>
      </c>
      <c r="D1039" s="804"/>
      <c r="E1039" s="804"/>
      <c r="F1039" s="804"/>
      <c r="G1039" s="388" t="s">
        <v>592</v>
      </c>
      <c r="H1039" s="398">
        <v>313.08</v>
      </c>
      <c r="I1039" s="484">
        <v>879</v>
      </c>
      <c r="J1039" s="398">
        <v>649</v>
      </c>
      <c r="K1039" s="485"/>
      <c r="L1039" s="120">
        <f t="shared" ref="L1039" si="330">J1039+K1039</f>
        <v>649</v>
      </c>
      <c r="M1039" s="120">
        <f t="shared" ref="M1039" si="331">H1039*I1039</f>
        <v>275197.32</v>
      </c>
      <c r="N1039" s="120">
        <f t="shared" ref="N1039" si="332">H1039*J1039</f>
        <v>203188.91999999998</v>
      </c>
      <c r="O1039" s="404">
        <f t="shared" ref="O1039" si="333">H1039*K1039</f>
        <v>0</v>
      </c>
      <c r="P1039" s="127">
        <f t="shared" ref="P1039" si="334">H1039*L1039</f>
        <v>203188.91999999998</v>
      </c>
    </row>
    <row r="1040" spans="1:256" s="807" customFormat="1" ht="13.5" customHeight="1">
      <c r="A1040" s="804"/>
      <c r="B1040" s="805"/>
      <c r="C1040" s="800"/>
      <c r="D1040" s="804"/>
      <c r="E1040" s="804"/>
      <c r="F1040" s="804"/>
      <c r="G1040" s="388"/>
      <c r="H1040" s="398"/>
      <c r="I1040" s="484"/>
      <c r="J1040" s="398"/>
      <c r="K1040" s="485">
        <v>0</v>
      </c>
      <c r="L1040" s="120">
        <f t="shared" ref="L1040:L1047" si="335">J1040+K1040</f>
        <v>0</v>
      </c>
      <c r="M1040" s="120">
        <f t="shared" ref="M1040:M1047" si="336">H1040*I1040</f>
        <v>0</v>
      </c>
      <c r="N1040" s="120">
        <f t="shared" ref="N1040:N1047" si="337">H1040*J1040</f>
        <v>0</v>
      </c>
      <c r="O1040" s="404">
        <f t="shared" ref="O1040:O1047" si="338">H1040*K1040</f>
        <v>0</v>
      </c>
      <c r="P1040" s="127">
        <f t="shared" ref="P1040:P1047" si="339">H1040*L1040</f>
        <v>0</v>
      </c>
    </row>
    <row r="1041" spans="1:16" s="807" customFormat="1" ht="13.5" customHeight="1">
      <c r="A1041" s="804"/>
      <c r="B1041" s="805"/>
      <c r="C1041" s="800" t="s">
        <v>1114</v>
      </c>
      <c r="D1041" s="804"/>
      <c r="E1041" s="804"/>
      <c r="F1041" s="804"/>
      <c r="G1041" s="388" t="s">
        <v>592</v>
      </c>
      <c r="H1041" s="398">
        <v>321.31</v>
      </c>
      <c r="I1041" s="484">
        <v>502</v>
      </c>
      <c r="J1041" s="398">
        <v>430</v>
      </c>
      <c r="K1041" s="485"/>
      <c r="L1041" s="120">
        <f t="shared" si="335"/>
        <v>430</v>
      </c>
      <c r="M1041" s="120">
        <f t="shared" si="336"/>
        <v>161297.62</v>
      </c>
      <c r="N1041" s="120">
        <f t="shared" si="337"/>
        <v>138163.29999999999</v>
      </c>
      <c r="O1041" s="404">
        <f t="shared" si="338"/>
        <v>0</v>
      </c>
      <c r="P1041" s="127">
        <f t="shared" si="339"/>
        <v>138163.29999999999</v>
      </c>
    </row>
    <row r="1042" spans="1:16" s="807" customFormat="1" ht="13.5" customHeight="1">
      <c r="A1042" s="804"/>
      <c r="B1042" s="805"/>
      <c r="C1042" s="800"/>
      <c r="D1042" s="804"/>
      <c r="E1042" s="804"/>
      <c r="F1042" s="804"/>
      <c r="G1042" s="388"/>
      <c r="H1042" s="398"/>
      <c r="I1042" s="484"/>
      <c r="J1042" s="398"/>
      <c r="K1042" s="485"/>
      <c r="L1042" s="120">
        <f t="shared" si="335"/>
        <v>0</v>
      </c>
      <c r="M1042" s="120">
        <f t="shared" si="336"/>
        <v>0</v>
      </c>
      <c r="N1042" s="120">
        <f t="shared" si="337"/>
        <v>0</v>
      </c>
      <c r="O1042" s="404">
        <f t="shared" si="338"/>
        <v>0</v>
      </c>
      <c r="P1042" s="127">
        <f t="shared" si="339"/>
        <v>0</v>
      </c>
    </row>
    <row r="1043" spans="1:16" s="807" customFormat="1" ht="13.5" customHeight="1">
      <c r="A1043" s="804"/>
      <c r="B1043" s="805">
        <v>2</v>
      </c>
      <c r="C1043" s="800" t="s">
        <v>1115</v>
      </c>
      <c r="D1043" s="795"/>
      <c r="E1043" s="795"/>
      <c r="F1043" s="795"/>
      <c r="G1043" s="388"/>
      <c r="H1043" s="398"/>
      <c r="I1043" s="484"/>
      <c r="J1043" s="398"/>
      <c r="K1043" s="485"/>
      <c r="L1043" s="120">
        <f t="shared" si="335"/>
        <v>0</v>
      </c>
      <c r="M1043" s="120">
        <f t="shared" si="336"/>
        <v>0</v>
      </c>
      <c r="N1043" s="120">
        <f t="shared" si="337"/>
        <v>0</v>
      </c>
      <c r="O1043" s="404">
        <f t="shared" si="338"/>
        <v>0</v>
      </c>
      <c r="P1043" s="127">
        <f t="shared" si="339"/>
        <v>0</v>
      </c>
    </row>
    <row r="1044" spans="1:16" s="807" customFormat="1" ht="13.5" customHeight="1">
      <c r="A1044" s="804"/>
      <c r="B1044" s="793"/>
      <c r="C1044" s="800" t="s">
        <v>1116</v>
      </c>
      <c r="D1044" s="795"/>
      <c r="E1044" s="795"/>
      <c r="F1044" s="795"/>
      <c r="G1044" s="388"/>
      <c r="H1044" s="398"/>
      <c r="I1044" s="484"/>
      <c r="J1044" s="398"/>
      <c r="K1044" s="485"/>
      <c r="L1044" s="120">
        <f t="shared" si="335"/>
        <v>0</v>
      </c>
      <c r="M1044" s="120">
        <f t="shared" si="336"/>
        <v>0</v>
      </c>
      <c r="N1044" s="120">
        <f t="shared" si="337"/>
        <v>0</v>
      </c>
      <c r="O1044" s="404">
        <f t="shared" si="338"/>
        <v>0</v>
      </c>
      <c r="P1044" s="127">
        <f t="shared" si="339"/>
        <v>0</v>
      </c>
    </row>
    <row r="1045" spans="1:16" s="807" customFormat="1" ht="13.5" customHeight="1">
      <c r="A1045" s="804"/>
      <c r="B1045" s="793"/>
      <c r="C1045" s="800" t="s">
        <v>1117</v>
      </c>
      <c r="D1045" s="795"/>
      <c r="E1045" s="795"/>
      <c r="F1045" s="795"/>
      <c r="G1045" s="388"/>
      <c r="H1045" s="398"/>
      <c r="I1045" s="484"/>
      <c r="J1045" s="398"/>
      <c r="K1045" s="485"/>
      <c r="L1045" s="120">
        <f t="shared" si="335"/>
        <v>0</v>
      </c>
      <c r="M1045" s="120">
        <f t="shared" si="336"/>
        <v>0</v>
      </c>
      <c r="N1045" s="120">
        <f t="shared" si="337"/>
        <v>0</v>
      </c>
      <c r="O1045" s="404">
        <f t="shared" si="338"/>
        <v>0</v>
      </c>
      <c r="P1045" s="127">
        <f t="shared" si="339"/>
        <v>0</v>
      </c>
    </row>
    <row r="1046" spans="1:16" s="807" customFormat="1" ht="13.5" customHeight="1">
      <c r="A1046" s="804"/>
      <c r="B1046" s="793"/>
      <c r="C1046" s="800"/>
      <c r="D1046" s="795"/>
      <c r="E1046" s="795"/>
      <c r="F1046" s="795"/>
      <c r="G1046" s="388"/>
      <c r="H1046" s="398"/>
      <c r="I1046" s="484"/>
      <c r="J1046" s="398"/>
      <c r="K1046" s="485"/>
      <c r="L1046" s="120">
        <f t="shared" si="335"/>
        <v>0</v>
      </c>
      <c r="M1046" s="120">
        <f t="shared" si="336"/>
        <v>0</v>
      </c>
      <c r="N1046" s="120">
        <f t="shared" si="337"/>
        <v>0</v>
      </c>
      <c r="O1046" s="404">
        <f t="shared" si="338"/>
        <v>0</v>
      </c>
      <c r="P1046" s="127">
        <f t="shared" si="339"/>
        <v>0</v>
      </c>
    </row>
    <row r="1047" spans="1:16" s="807" customFormat="1" ht="13.5" customHeight="1">
      <c r="A1047" s="804"/>
      <c r="B1047" s="793"/>
      <c r="C1047" s="800" t="s">
        <v>1118</v>
      </c>
      <c r="D1047" s="795"/>
      <c r="E1047" s="795"/>
      <c r="F1047" s="795"/>
      <c r="G1047" s="388" t="s">
        <v>190</v>
      </c>
      <c r="H1047" s="398">
        <v>7470.12</v>
      </c>
      <c r="I1047" s="484">
        <v>97</v>
      </c>
      <c r="J1047" s="398">
        <v>67</v>
      </c>
      <c r="K1047" s="485"/>
      <c r="L1047" s="120">
        <f t="shared" si="335"/>
        <v>67</v>
      </c>
      <c r="M1047" s="120">
        <f t="shared" si="336"/>
        <v>724601.64</v>
      </c>
      <c r="N1047" s="120">
        <f t="shared" si="337"/>
        <v>500498.04</v>
      </c>
      <c r="O1047" s="404">
        <f t="shared" si="338"/>
        <v>0</v>
      </c>
      <c r="P1047" s="127">
        <f t="shared" si="339"/>
        <v>500498.04</v>
      </c>
    </row>
    <row r="1048" spans="1:16" s="807" customFormat="1" ht="14.25" customHeight="1" thickBot="1">
      <c r="A1048" s="804"/>
      <c r="B1048" s="805"/>
      <c r="C1048" s="225"/>
      <c r="D1048" s="804"/>
      <c r="E1048" s="804"/>
      <c r="F1048" s="804"/>
      <c r="G1048" s="388"/>
      <c r="H1048" s="398"/>
      <c r="I1048" s="484"/>
      <c r="J1048" s="398"/>
      <c r="K1048" s="485"/>
      <c r="L1048" s="585"/>
      <c r="M1048" s="585"/>
      <c r="N1048" s="585"/>
      <c r="O1048" s="586"/>
      <c r="P1048" s="806"/>
    </row>
    <row r="1049" spans="1:16" ht="16.5" customHeight="1" thickTop="1" thickBot="1">
      <c r="A1049" s="260"/>
      <c r="B1049" s="273"/>
      <c r="C1049" s="266" t="s">
        <v>312</v>
      </c>
      <c r="D1049" s="267"/>
      <c r="E1049" s="267"/>
      <c r="F1049" s="267"/>
      <c r="G1049" s="268"/>
      <c r="H1049" s="269"/>
      <c r="I1049" s="426"/>
      <c r="J1049" s="269"/>
      <c r="K1049" s="410"/>
      <c r="L1049" s="270"/>
      <c r="M1049" s="270">
        <f t="shared" ref="M1049:P1049" si="340">SUM(M1039:M1047)</f>
        <v>1161096.58</v>
      </c>
      <c r="N1049" s="270">
        <f t="shared" si="340"/>
        <v>841850.26</v>
      </c>
      <c r="O1049" s="443">
        <f t="shared" si="340"/>
        <v>0</v>
      </c>
      <c r="P1049" s="270">
        <f t="shared" si="340"/>
        <v>841850.26</v>
      </c>
    </row>
    <row r="1050" spans="1:16" s="807" customFormat="1" ht="16.5" customHeight="1" thickTop="1">
      <c r="A1050" s="804"/>
      <c r="B1050" s="805"/>
      <c r="C1050" s="225"/>
      <c r="D1050" s="804"/>
      <c r="E1050" s="804"/>
      <c r="F1050" s="804"/>
      <c r="G1050" s="388"/>
      <c r="H1050" s="398"/>
      <c r="I1050" s="484"/>
      <c r="J1050" s="398"/>
      <c r="K1050" s="586"/>
      <c r="L1050" s="585"/>
      <c r="M1050" s="585"/>
      <c r="N1050" s="585"/>
      <c r="O1050" s="586"/>
      <c r="P1050" s="806"/>
    </row>
    <row r="1051" spans="1:16" ht="15.75">
      <c r="A1051" s="260"/>
      <c r="B1051" s="147"/>
      <c r="C1051" s="581"/>
      <c r="D1051" s="584"/>
      <c r="E1051" s="584"/>
      <c r="F1051" s="584"/>
      <c r="G1051" s="803"/>
      <c r="H1051" s="120"/>
      <c r="I1051" s="417"/>
      <c r="J1051" s="120"/>
      <c r="K1051" s="404"/>
      <c r="L1051" s="491"/>
      <c r="M1051" s="491"/>
      <c r="N1051" s="491"/>
      <c r="O1051" s="404"/>
      <c r="P1051" s="507"/>
    </row>
    <row r="1052" spans="1:16" ht="18">
      <c r="A1052" s="260"/>
      <c r="B1052" s="151">
        <v>1</v>
      </c>
      <c r="C1052" s="138" t="s">
        <v>511</v>
      </c>
      <c r="D1052" s="139"/>
      <c r="E1052" s="139"/>
      <c r="F1052" s="150"/>
      <c r="G1052" s="134"/>
      <c r="H1052" s="120"/>
      <c r="I1052" s="417"/>
      <c r="J1052" s="120"/>
      <c r="K1052" s="404"/>
      <c r="L1052" s="491">
        <f t="shared" ref="L1052:L1066" si="341">J1052+K1052</f>
        <v>0</v>
      </c>
      <c r="M1052" s="491">
        <f t="shared" ref="M1052:M1066" si="342">H1052*I1052</f>
        <v>0</v>
      </c>
      <c r="N1052" s="491">
        <f t="shared" ref="N1052:N1066" si="343">H1052*J1052</f>
        <v>0</v>
      </c>
      <c r="O1052" s="404">
        <f t="shared" ref="O1052:O1066" si="344">H1052*K1052</f>
        <v>0</v>
      </c>
      <c r="P1052" s="507">
        <f t="shared" ref="P1052:P1066" si="345">H1052*L1052</f>
        <v>0</v>
      </c>
    </row>
    <row r="1053" spans="1:16" ht="18">
      <c r="A1053" s="260"/>
      <c r="B1053" s="151">
        <v>1.1000000000000001</v>
      </c>
      <c r="C1053" s="138" t="s">
        <v>512</v>
      </c>
      <c r="D1053" s="139"/>
      <c r="E1053" s="139"/>
      <c r="F1053" s="150"/>
      <c r="G1053" s="134"/>
      <c r="H1053" s="120"/>
      <c r="I1053" s="417"/>
      <c r="J1053" s="120"/>
      <c r="K1053" s="404"/>
      <c r="L1053" s="491">
        <f t="shared" si="341"/>
        <v>0</v>
      </c>
      <c r="M1053" s="491">
        <f t="shared" si="342"/>
        <v>0</v>
      </c>
      <c r="N1053" s="491">
        <f t="shared" si="343"/>
        <v>0</v>
      </c>
      <c r="O1053" s="404">
        <f t="shared" si="344"/>
        <v>0</v>
      </c>
      <c r="P1053" s="507">
        <f t="shared" si="345"/>
        <v>0</v>
      </c>
    </row>
    <row r="1054" spans="1:16" s="413" customFormat="1" ht="20.25">
      <c r="A1054" s="433"/>
      <c r="B1054" s="494" t="s">
        <v>901</v>
      </c>
      <c r="C1054" s="495" t="s">
        <v>701</v>
      </c>
      <c r="D1054" s="496"/>
      <c r="E1054" s="496"/>
      <c r="F1054" s="497"/>
      <c r="G1054" s="489"/>
      <c r="H1054" s="491"/>
      <c r="I1054" s="417"/>
      <c r="J1054" s="491"/>
      <c r="K1054" s="404"/>
      <c r="L1054" s="491">
        <f t="shared" si="341"/>
        <v>0</v>
      </c>
      <c r="M1054" s="491">
        <f t="shared" si="342"/>
        <v>0</v>
      </c>
      <c r="N1054" s="491">
        <f t="shared" si="343"/>
        <v>0</v>
      </c>
      <c r="O1054" s="404">
        <f t="shared" si="344"/>
        <v>0</v>
      </c>
      <c r="P1054" s="507">
        <f t="shared" si="345"/>
        <v>0</v>
      </c>
    </row>
    <row r="1055" spans="1:16" s="413" customFormat="1" ht="18">
      <c r="A1055" s="433"/>
      <c r="B1055" s="494"/>
      <c r="C1055" s="495"/>
      <c r="D1055" s="496"/>
      <c r="E1055" s="496"/>
      <c r="F1055" s="497"/>
      <c r="G1055" s="489"/>
      <c r="H1055" s="491"/>
      <c r="I1055" s="417"/>
      <c r="J1055" s="491"/>
      <c r="K1055" s="404"/>
      <c r="L1055" s="491">
        <f t="shared" ref="L1055:L1065" si="346">J1055+K1055</f>
        <v>0</v>
      </c>
      <c r="M1055" s="491">
        <f t="shared" ref="M1055:M1065" si="347">H1055*I1055</f>
        <v>0</v>
      </c>
      <c r="N1055" s="491">
        <f t="shared" ref="N1055:N1065" si="348">H1055*J1055</f>
        <v>0</v>
      </c>
      <c r="O1055" s="404">
        <f t="shared" ref="O1055:O1065" si="349">H1055*K1055</f>
        <v>0</v>
      </c>
      <c r="P1055" s="507">
        <f t="shared" ref="P1055:P1065" si="350">H1055*L1055</f>
        <v>0</v>
      </c>
    </row>
    <row r="1056" spans="1:16" s="413" customFormat="1" ht="18">
      <c r="A1056" s="433"/>
      <c r="B1056" s="488" t="s">
        <v>1060</v>
      </c>
      <c r="C1056" s="498" t="s">
        <v>1061</v>
      </c>
      <c r="D1056" s="496"/>
      <c r="E1056" s="496"/>
      <c r="F1056" s="497"/>
      <c r="G1056" s="489" t="s">
        <v>484</v>
      </c>
      <c r="H1056" s="491">
        <v>23.1</v>
      </c>
      <c r="I1056" s="417">
        <v>10</v>
      </c>
      <c r="J1056" s="491">
        <v>49.15</v>
      </c>
      <c r="K1056" s="404">
        <v>0</v>
      </c>
      <c r="L1056" s="491">
        <f t="shared" si="346"/>
        <v>49.15</v>
      </c>
      <c r="M1056" s="491">
        <f t="shared" si="347"/>
        <v>231</v>
      </c>
      <c r="N1056" s="491">
        <f t="shared" si="348"/>
        <v>1135.365</v>
      </c>
      <c r="O1056" s="404">
        <f t="shared" si="349"/>
        <v>0</v>
      </c>
      <c r="P1056" s="507">
        <f t="shared" si="350"/>
        <v>1135.365</v>
      </c>
    </row>
    <row r="1057" spans="1:16" s="413" customFormat="1" ht="18">
      <c r="A1057" s="433"/>
      <c r="B1057" s="488" t="s">
        <v>1062</v>
      </c>
      <c r="C1057" s="498" t="s">
        <v>1064</v>
      </c>
      <c r="D1057" s="496"/>
      <c r="E1057" s="496"/>
      <c r="F1057" s="497"/>
      <c r="G1057" s="489" t="s">
        <v>484</v>
      </c>
      <c r="H1057" s="491">
        <v>23.1</v>
      </c>
      <c r="I1057" s="417">
        <v>8</v>
      </c>
      <c r="J1057" s="491">
        <v>19.3</v>
      </c>
      <c r="K1057" s="404">
        <v>0</v>
      </c>
      <c r="L1057" s="491">
        <f t="shared" si="346"/>
        <v>19.3</v>
      </c>
      <c r="M1057" s="491">
        <f t="shared" si="347"/>
        <v>184.8</v>
      </c>
      <c r="N1057" s="491">
        <f t="shared" si="348"/>
        <v>445.83000000000004</v>
      </c>
      <c r="O1057" s="404">
        <f t="shared" si="349"/>
        <v>0</v>
      </c>
      <c r="P1057" s="507">
        <f t="shared" si="350"/>
        <v>445.83000000000004</v>
      </c>
    </row>
    <row r="1058" spans="1:16" s="413" customFormat="1" ht="18">
      <c r="A1058" s="433"/>
      <c r="B1058" s="488" t="s">
        <v>1063</v>
      </c>
      <c r="C1058" s="498" t="s">
        <v>1065</v>
      </c>
      <c r="D1058" s="496"/>
      <c r="E1058" s="496"/>
      <c r="F1058" s="497"/>
      <c r="G1058" s="489" t="s">
        <v>484</v>
      </c>
      <c r="H1058" s="491">
        <v>23.1</v>
      </c>
      <c r="I1058" s="417">
        <v>20</v>
      </c>
      <c r="J1058" s="491">
        <v>30.08</v>
      </c>
      <c r="K1058" s="404">
        <v>0</v>
      </c>
      <c r="L1058" s="491">
        <f t="shared" si="346"/>
        <v>30.08</v>
      </c>
      <c r="M1058" s="491">
        <f t="shared" si="347"/>
        <v>462</v>
      </c>
      <c r="N1058" s="491">
        <f t="shared" si="348"/>
        <v>694.84799999999996</v>
      </c>
      <c r="O1058" s="404">
        <f t="shared" si="349"/>
        <v>0</v>
      </c>
      <c r="P1058" s="507">
        <f t="shared" si="350"/>
        <v>694.84799999999996</v>
      </c>
    </row>
    <row r="1059" spans="1:16" s="413" customFormat="1" ht="18">
      <c r="A1059" s="433"/>
      <c r="B1059" s="488"/>
      <c r="C1059" s="498"/>
      <c r="D1059" s="496"/>
      <c r="E1059" s="496"/>
      <c r="F1059" s="497"/>
      <c r="G1059" s="489"/>
      <c r="H1059" s="491"/>
      <c r="I1059" s="417"/>
      <c r="J1059" s="491"/>
      <c r="K1059" s="404"/>
      <c r="L1059" s="491">
        <f t="shared" si="346"/>
        <v>0</v>
      </c>
      <c r="M1059" s="491">
        <f t="shared" si="347"/>
        <v>0</v>
      </c>
      <c r="N1059" s="491">
        <f t="shared" si="348"/>
        <v>0</v>
      </c>
      <c r="O1059" s="404">
        <f t="shared" si="349"/>
        <v>0</v>
      </c>
      <c r="P1059" s="507">
        <f t="shared" si="350"/>
        <v>0</v>
      </c>
    </row>
    <row r="1060" spans="1:16" s="413" customFormat="1" ht="18">
      <c r="A1060" s="433"/>
      <c r="B1060" s="488" t="s">
        <v>1066</v>
      </c>
      <c r="C1060" s="498" t="s">
        <v>1067</v>
      </c>
      <c r="D1060" s="496"/>
      <c r="E1060" s="496"/>
      <c r="F1060" s="497"/>
      <c r="G1060" s="489"/>
      <c r="H1060" s="491"/>
      <c r="I1060" s="417"/>
      <c r="J1060" s="491"/>
      <c r="K1060" s="404"/>
      <c r="L1060" s="491">
        <f t="shared" si="346"/>
        <v>0</v>
      </c>
      <c r="M1060" s="491">
        <f t="shared" si="347"/>
        <v>0</v>
      </c>
      <c r="N1060" s="491">
        <f t="shared" si="348"/>
        <v>0</v>
      </c>
      <c r="O1060" s="404">
        <f t="shared" si="349"/>
        <v>0</v>
      </c>
      <c r="P1060" s="507">
        <f t="shared" si="350"/>
        <v>0</v>
      </c>
    </row>
    <row r="1061" spans="1:16" s="413" customFormat="1" ht="18">
      <c r="A1061" s="433"/>
      <c r="B1061" s="488"/>
      <c r="C1061" s="498" t="s">
        <v>1068</v>
      </c>
      <c r="D1061" s="496"/>
      <c r="E1061" s="496"/>
      <c r="F1061" s="497"/>
      <c r="G1061" s="489" t="s">
        <v>1071</v>
      </c>
      <c r="H1061" s="491">
        <v>2079</v>
      </c>
      <c r="I1061" s="417">
        <v>1</v>
      </c>
      <c r="J1061" s="491">
        <v>1</v>
      </c>
      <c r="K1061" s="404">
        <v>0</v>
      </c>
      <c r="L1061" s="491">
        <f t="shared" si="346"/>
        <v>1</v>
      </c>
      <c r="M1061" s="491">
        <f t="shared" si="347"/>
        <v>2079</v>
      </c>
      <c r="N1061" s="491">
        <f t="shared" si="348"/>
        <v>2079</v>
      </c>
      <c r="O1061" s="404">
        <f t="shared" si="349"/>
        <v>0</v>
      </c>
      <c r="P1061" s="507">
        <f t="shared" si="350"/>
        <v>2079</v>
      </c>
    </row>
    <row r="1062" spans="1:16" s="413" customFormat="1" ht="18">
      <c r="A1062" s="433"/>
      <c r="B1062" s="488"/>
      <c r="C1062" s="498" t="s">
        <v>1069</v>
      </c>
      <c r="D1062" s="496"/>
      <c r="E1062" s="496"/>
      <c r="F1062" s="497"/>
      <c r="G1062" s="489" t="s">
        <v>1071</v>
      </c>
      <c r="H1062" s="491">
        <v>783.67</v>
      </c>
      <c r="I1062" s="417">
        <v>1</v>
      </c>
      <c r="J1062" s="491">
        <v>1</v>
      </c>
      <c r="K1062" s="404">
        <v>0</v>
      </c>
      <c r="L1062" s="491">
        <f t="shared" si="346"/>
        <v>1</v>
      </c>
      <c r="M1062" s="491">
        <f t="shared" si="347"/>
        <v>783.67</v>
      </c>
      <c r="N1062" s="491">
        <f t="shared" si="348"/>
        <v>783.67</v>
      </c>
      <c r="O1062" s="404">
        <f t="shared" si="349"/>
        <v>0</v>
      </c>
      <c r="P1062" s="507">
        <f t="shared" si="350"/>
        <v>783.67</v>
      </c>
    </row>
    <row r="1063" spans="1:16" s="413" customFormat="1" ht="15.75">
      <c r="A1063" s="433"/>
      <c r="B1063" s="488"/>
      <c r="C1063" s="498" t="s">
        <v>1070</v>
      </c>
      <c r="D1063" s="499"/>
      <c r="E1063" s="499"/>
      <c r="F1063" s="500"/>
      <c r="G1063" s="489" t="s">
        <v>1071</v>
      </c>
      <c r="H1063" s="491">
        <v>3638.25</v>
      </c>
      <c r="I1063" s="417">
        <v>1</v>
      </c>
      <c r="J1063" s="491">
        <v>1</v>
      </c>
      <c r="K1063" s="404">
        <v>0</v>
      </c>
      <c r="L1063" s="491">
        <f t="shared" si="346"/>
        <v>1</v>
      </c>
      <c r="M1063" s="491">
        <f t="shared" si="347"/>
        <v>3638.25</v>
      </c>
      <c r="N1063" s="491">
        <f t="shared" si="348"/>
        <v>3638.25</v>
      </c>
      <c r="O1063" s="404">
        <f t="shared" si="349"/>
        <v>0</v>
      </c>
      <c r="P1063" s="507">
        <f t="shared" si="350"/>
        <v>3638.25</v>
      </c>
    </row>
    <row r="1064" spans="1:16" s="413" customFormat="1" ht="15.75">
      <c r="A1064" s="433"/>
      <c r="B1064" s="488"/>
      <c r="C1064" s="498"/>
      <c r="D1064" s="499"/>
      <c r="E1064" s="499"/>
      <c r="F1064" s="500"/>
      <c r="G1064" s="489"/>
      <c r="H1064" s="491"/>
      <c r="I1064" s="417"/>
      <c r="J1064" s="491"/>
      <c r="K1064" s="404"/>
      <c r="L1064" s="491">
        <f t="shared" si="346"/>
        <v>0</v>
      </c>
      <c r="M1064" s="491">
        <f t="shared" si="347"/>
        <v>0</v>
      </c>
      <c r="N1064" s="491">
        <f t="shared" si="348"/>
        <v>0</v>
      </c>
      <c r="O1064" s="404">
        <f t="shared" si="349"/>
        <v>0</v>
      </c>
      <c r="P1064" s="507">
        <f t="shared" si="350"/>
        <v>0</v>
      </c>
    </row>
    <row r="1065" spans="1:16" s="413" customFormat="1" ht="15.75">
      <c r="A1065" s="433"/>
      <c r="B1065" s="488"/>
      <c r="C1065" s="501" t="s">
        <v>363</v>
      </c>
      <c r="D1065" s="502"/>
      <c r="E1065" s="502"/>
      <c r="F1065" s="503"/>
      <c r="G1065" s="489"/>
      <c r="H1065" s="491"/>
      <c r="I1065" s="417"/>
      <c r="J1065" s="491"/>
      <c r="K1065" s="404"/>
      <c r="L1065" s="491">
        <f t="shared" si="346"/>
        <v>0</v>
      </c>
      <c r="M1065" s="491">
        <f t="shared" si="347"/>
        <v>0</v>
      </c>
      <c r="N1065" s="491">
        <f t="shared" si="348"/>
        <v>0</v>
      </c>
      <c r="O1065" s="404">
        <f t="shared" si="349"/>
        <v>0</v>
      </c>
      <c r="P1065" s="507">
        <f t="shared" si="350"/>
        <v>0</v>
      </c>
    </row>
    <row r="1066" spans="1:16" s="413" customFormat="1" ht="18">
      <c r="A1066" s="433"/>
      <c r="B1066" s="488" t="s">
        <v>364</v>
      </c>
      <c r="C1066" s="498" t="s">
        <v>365</v>
      </c>
      <c r="D1066" s="499"/>
      <c r="E1066" s="499"/>
      <c r="F1066" s="500"/>
      <c r="G1066" s="489" t="s">
        <v>275</v>
      </c>
      <c r="H1066" s="491">
        <v>4.34</v>
      </c>
      <c r="I1066" s="417">
        <v>40.69</v>
      </c>
      <c r="J1066" s="491">
        <v>40.69</v>
      </c>
      <c r="K1066" s="404"/>
      <c r="L1066" s="491">
        <f t="shared" si="341"/>
        <v>40.69</v>
      </c>
      <c r="M1066" s="491">
        <f t="shared" si="342"/>
        <v>176.59459999999999</v>
      </c>
      <c r="N1066" s="491">
        <f t="shared" si="343"/>
        <v>176.59459999999999</v>
      </c>
      <c r="O1066" s="404">
        <f t="shared" si="344"/>
        <v>0</v>
      </c>
      <c r="P1066" s="507">
        <f t="shared" si="345"/>
        <v>176.59459999999999</v>
      </c>
    </row>
    <row r="1067" spans="1:16" s="413" customFormat="1" ht="15.75">
      <c r="A1067" s="433"/>
      <c r="B1067" s="488"/>
      <c r="C1067" s="498"/>
      <c r="D1067" s="499"/>
      <c r="E1067" s="499"/>
      <c r="F1067" s="500"/>
      <c r="G1067" s="489"/>
      <c r="H1067" s="491"/>
      <c r="I1067" s="417"/>
      <c r="J1067" s="491"/>
      <c r="K1067" s="404"/>
      <c r="L1067" s="491"/>
      <c r="M1067" s="491"/>
      <c r="N1067" s="491"/>
      <c r="O1067" s="404"/>
      <c r="P1067" s="507"/>
    </row>
    <row r="1068" spans="1:16" s="413" customFormat="1" ht="18">
      <c r="A1068" s="433"/>
      <c r="B1068" s="488" t="s">
        <v>366</v>
      </c>
      <c r="C1068" s="498" t="s">
        <v>367</v>
      </c>
      <c r="D1068" s="499"/>
      <c r="E1068" s="499"/>
      <c r="F1068" s="500"/>
      <c r="G1068" s="489" t="s">
        <v>273</v>
      </c>
      <c r="H1068" s="491">
        <v>28.92</v>
      </c>
      <c r="I1068" s="417">
        <v>61.04</v>
      </c>
      <c r="J1068" s="491">
        <v>8.82</v>
      </c>
      <c r="K1068" s="404"/>
      <c r="L1068" s="491">
        <f>J1068+K1068</f>
        <v>8.82</v>
      </c>
      <c r="M1068" s="491">
        <f>H1068*I1068</f>
        <v>1765.2768000000001</v>
      </c>
      <c r="N1068" s="491">
        <f>H1068*J1068</f>
        <v>255.07440000000003</v>
      </c>
      <c r="O1068" s="404">
        <f>H1068*K1068</f>
        <v>0</v>
      </c>
      <c r="P1068" s="507">
        <f>H1068*L1068</f>
        <v>255.07440000000003</v>
      </c>
    </row>
    <row r="1069" spans="1:16" s="413" customFormat="1" ht="15.75">
      <c r="A1069" s="433"/>
      <c r="B1069" s="488"/>
      <c r="C1069" s="498"/>
      <c r="D1069" s="499"/>
      <c r="E1069" s="499"/>
      <c r="F1069" s="500"/>
      <c r="G1069" s="489"/>
      <c r="H1069" s="491"/>
      <c r="I1069" s="417"/>
      <c r="J1069" s="491"/>
      <c r="K1069" s="404"/>
      <c r="L1069" s="491"/>
      <c r="M1069" s="491"/>
      <c r="N1069" s="491"/>
      <c r="O1069" s="404"/>
      <c r="P1069" s="507"/>
    </row>
    <row r="1070" spans="1:16" s="413" customFormat="1" ht="18">
      <c r="A1070" s="433"/>
      <c r="B1070" s="488" t="s">
        <v>368</v>
      </c>
      <c r="C1070" s="498" t="s">
        <v>370</v>
      </c>
      <c r="D1070" s="499"/>
      <c r="E1070" s="499"/>
      <c r="F1070" s="500"/>
      <c r="G1070" s="489" t="s">
        <v>273</v>
      </c>
      <c r="H1070" s="491">
        <v>117.1</v>
      </c>
      <c r="I1070" s="417">
        <v>29.21</v>
      </c>
      <c r="J1070" s="491">
        <v>43.24</v>
      </c>
      <c r="K1070" s="404"/>
      <c r="L1070" s="491">
        <f t="shared" ref="L1070:L1110" si="351">J1070+K1070</f>
        <v>43.24</v>
      </c>
      <c r="M1070" s="491">
        <f t="shared" ref="M1070:M1110" si="352">H1070*I1070</f>
        <v>3420.491</v>
      </c>
      <c r="N1070" s="491">
        <f t="shared" ref="N1070:N1110" si="353">H1070*J1070</f>
        <v>5063.4039999999995</v>
      </c>
      <c r="O1070" s="404">
        <f t="shared" ref="O1070:O1110" si="354">H1070*K1070</f>
        <v>0</v>
      </c>
      <c r="P1070" s="507">
        <f t="shared" ref="P1070:P1110" si="355">H1070*L1070</f>
        <v>5063.4039999999995</v>
      </c>
    </row>
    <row r="1071" spans="1:16" s="413" customFormat="1" ht="15.75">
      <c r="A1071" s="433"/>
      <c r="B1071" s="488"/>
      <c r="C1071" s="498"/>
      <c r="D1071" s="499"/>
      <c r="E1071" s="499"/>
      <c r="F1071" s="500"/>
      <c r="G1071" s="489"/>
      <c r="H1071" s="491"/>
      <c r="I1071" s="417"/>
      <c r="J1071" s="491"/>
      <c r="K1071" s="404"/>
      <c r="L1071" s="491"/>
      <c r="M1071" s="491"/>
      <c r="N1071" s="491"/>
      <c r="O1071" s="404"/>
      <c r="P1071" s="507"/>
    </row>
    <row r="1072" spans="1:16" s="413" customFormat="1" ht="18">
      <c r="A1072" s="433"/>
      <c r="B1072" s="488" t="s">
        <v>369</v>
      </c>
      <c r="C1072" s="498" t="s">
        <v>371</v>
      </c>
      <c r="D1072" s="499"/>
      <c r="E1072" s="499"/>
      <c r="F1072" s="500"/>
      <c r="G1072" s="489" t="s">
        <v>273</v>
      </c>
      <c r="H1072" s="491">
        <v>32.71</v>
      </c>
      <c r="I1072" s="417">
        <v>69.180000000000007</v>
      </c>
      <c r="J1072" s="491">
        <v>45.81</v>
      </c>
      <c r="K1072" s="404"/>
      <c r="L1072" s="491">
        <f t="shared" si="351"/>
        <v>45.81</v>
      </c>
      <c r="M1072" s="491">
        <f t="shared" si="352"/>
        <v>2262.8778000000002</v>
      </c>
      <c r="N1072" s="491">
        <f t="shared" si="353"/>
        <v>1498.4451000000001</v>
      </c>
      <c r="O1072" s="404">
        <f t="shared" si="354"/>
        <v>0</v>
      </c>
      <c r="P1072" s="507">
        <f t="shared" si="355"/>
        <v>1498.4451000000001</v>
      </c>
    </row>
    <row r="1073" spans="1:16" s="413" customFormat="1" ht="15.75">
      <c r="A1073" s="433"/>
      <c r="B1073" s="488"/>
      <c r="C1073" s="498"/>
      <c r="D1073" s="499"/>
      <c r="E1073" s="499"/>
      <c r="F1073" s="500"/>
      <c r="G1073" s="489"/>
      <c r="H1073" s="491"/>
      <c r="I1073" s="417"/>
      <c r="J1073" s="491"/>
      <c r="K1073" s="404"/>
      <c r="L1073" s="491"/>
      <c r="M1073" s="491"/>
      <c r="N1073" s="491"/>
      <c r="O1073" s="404"/>
      <c r="P1073" s="507"/>
    </row>
    <row r="1074" spans="1:16" s="413" customFormat="1" ht="15.75">
      <c r="A1074" s="433"/>
      <c r="B1074" s="488"/>
      <c r="C1074" s="501" t="s">
        <v>372</v>
      </c>
      <c r="D1074" s="502"/>
      <c r="E1074" s="502"/>
      <c r="F1074" s="500"/>
      <c r="G1074" s="489"/>
      <c r="H1074" s="491"/>
      <c r="I1074" s="417"/>
      <c r="J1074" s="491"/>
      <c r="K1074" s="404"/>
      <c r="L1074" s="491"/>
      <c r="M1074" s="491"/>
      <c r="N1074" s="491"/>
      <c r="O1074" s="404"/>
      <c r="P1074" s="507"/>
    </row>
    <row r="1075" spans="1:16" s="413" customFormat="1" ht="15.75">
      <c r="A1075" s="433"/>
      <c r="B1075" s="488"/>
      <c r="C1075" s="498"/>
      <c r="D1075" s="499"/>
      <c r="E1075" s="499"/>
      <c r="F1075" s="500"/>
      <c r="G1075" s="489"/>
      <c r="H1075" s="491"/>
      <c r="I1075" s="417"/>
      <c r="J1075" s="491"/>
      <c r="K1075" s="404"/>
      <c r="L1075" s="491"/>
      <c r="M1075" s="491"/>
      <c r="N1075" s="491"/>
      <c r="O1075" s="404"/>
      <c r="P1075" s="507"/>
    </row>
    <row r="1076" spans="1:16" s="413" customFormat="1" ht="15.75">
      <c r="A1076" s="433"/>
      <c r="B1076" s="488" t="s">
        <v>373</v>
      </c>
      <c r="C1076" s="498" t="s">
        <v>374</v>
      </c>
      <c r="D1076" s="499"/>
      <c r="E1076" s="499"/>
      <c r="F1076" s="500"/>
      <c r="G1076" s="489"/>
      <c r="H1076" s="491"/>
      <c r="I1076" s="417"/>
      <c r="J1076" s="491"/>
      <c r="K1076" s="404"/>
      <c r="L1076" s="491"/>
      <c r="M1076" s="491"/>
      <c r="N1076" s="491"/>
      <c r="O1076" s="404"/>
      <c r="P1076" s="507"/>
    </row>
    <row r="1077" spans="1:16" s="413" customFormat="1" ht="18">
      <c r="A1077" s="433"/>
      <c r="B1077" s="488"/>
      <c r="C1077" s="498" t="s">
        <v>375</v>
      </c>
      <c r="D1077" s="499"/>
      <c r="E1077" s="499"/>
      <c r="F1077" s="500"/>
      <c r="G1077" s="489" t="s">
        <v>275</v>
      </c>
      <c r="H1077" s="491">
        <v>36.340000000000003</v>
      </c>
      <c r="I1077" s="417">
        <v>0</v>
      </c>
      <c r="J1077" s="491">
        <v>10.24</v>
      </c>
      <c r="K1077" s="404"/>
      <c r="L1077" s="491">
        <f t="shared" si="351"/>
        <v>10.24</v>
      </c>
      <c r="M1077" s="491">
        <f t="shared" si="352"/>
        <v>0</v>
      </c>
      <c r="N1077" s="491">
        <f t="shared" si="353"/>
        <v>372.12160000000006</v>
      </c>
      <c r="O1077" s="404">
        <f t="shared" si="354"/>
        <v>0</v>
      </c>
      <c r="P1077" s="507">
        <f t="shared" si="355"/>
        <v>372.12160000000006</v>
      </c>
    </row>
    <row r="1078" spans="1:16" s="413" customFormat="1" ht="18">
      <c r="A1078" s="433"/>
      <c r="B1078" s="488"/>
      <c r="C1078" s="498" t="s">
        <v>376</v>
      </c>
      <c r="D1078" s="499"/>
      <c r="E1078" s="499"/>
      <c r="F1078" s="500"/>
      <c r="G1078" s="489" t="s">
        <v>275</v>
      </c>
      <c r="H1078" s="491">
        <v>36.340000000000003</v>
      </c>
      <c r="I1078" s="417">
        <v>0</v>
      </c>
      <c r="J1078" s="491">
        <v>51.48</v>
      </c>
      <c r="K1078" s="404"/>
      <c r="L1078" s="491">
        <f t="shared" si="351"/>
        <v>51.48</v>
      </c>
      <c r="M1078" s="491">
        <f t="shared" si="352"/>
        <v>0</v>
      </c>
      <c r="N1078" s="491">
        <f t="shared" si="353"/>
        <v>1870.7832000000001</v>
      </c>
      <c r="O1078" s="404">
        <f t="shared" si="354"/>
        <v>0</v>
      </c>
      <c r="P1078" s="507">
        <f t="shared" si="355"/>
        <v>1870.7832000000001</v>
      </c>
    </row>
    <row r="1079" spans="1:16" s="413" customFormat="1" ht="15.75">
      <c r="A1079" s="433"/>
      <c r="B1079" s="488"/>
      <c r="C1079" s="498"/>
      <c r="D1079" s="499"/>
      <c r="E1079" s="499"/>
      <c r="F1079" s="500"/>
      <c r="G1079" s="489"/>
      <c r="H1079" s="491"/>
      <c r="I1079" s="417"/>
      <c r="J1079" s="491"/>
      <c r="K1079" s="404"/>
      <c r="L1079" s="491"/>
      <c r="M1079" s="491"/>
      <c r="N1079" s="491"/>
      <c r="O1079" s="404"/>
      <c r="P1079" s="507"/>
    </row>
    <row r="1080" spans="1:16" s="413" customFormat="1" ht="15.75">
      <c r="A1080" s="433"/>
      <c r="B1080" s="488" t="s">
        <v>377</v>
      </c>
      <c r="C1080" s="498" t="s">
        <v>378</v>
      </c>
      <c r="D1080" s="499"/>
      <c r="E1080" s="499"/>
      <c r="F1080" s="500"/>
      <c r="G1080" s="489"/>
      <c r="H1080" s="491"/>
      <c r="I1080" s="417"/>
      <c r="J1080" s="491"/>
      <c r="K1080" s="404"/>
      <c r="L1080" s="491"/>
      <c r="M1080" s="491"/>
      <c r="N1080" s="491"/>
      <c r="O1080" s="404"/>
      <c r="P1080" s="507"/>
    </row>
    <row r="1081" spans="1:16" s="413" customFormat="1" ht="18">
      <c r="A1081" s="433"/>
      <c r="B1081" s="488"/>
      <c r="C1081" s="498" t="s">
        <v>375</v>
      </c>
      <c r="D1081" s="499"/>
      <c r="E1081" s="499"/>
      <c r="F1081" s="500"/>
      <c r="G1081" s="489" t="s">
        <v>273</v>
      </c>
      <c r="H1081" s="491">
        <v>1281.48</v>
      </c>
      <c r="I1081" s="417"/>
      <c r="J1081" s="491">
        <v>3.58</v>
      </c>
      <c r="K1081" s="404"/>
      <c r="L1081" s="491">
        <f t="shared" si="351"/>
        <v>3.58</v>
      </c>
      <c r="M1081" s="491">
        <f t="shared" si="352"/>
        <v>0</v>
      </c>
      <c r="N1081" s="491">
        <f t="shared" si="353"/>
        <v>4587.6984000000002</v>
      </c>
      <c r="O1081" s="404">
        <f t="shared" si="354"/>
        <v>0</v>
      </c>
      <c r="P1081" s="507">
        <f t="shared" si="355"/>
        <v>4587.6984000000002</v>
      </c>
    </row>
    <row r="1082" spans="1:16" s="413" customFormat="1" ht="18">
      <c r="A1082" s="433"/>
      <c r="B1082" s="488"/>
      <c r="C1082" s="498" t="s">
        <v>379</v>
      </c>
      <c r="D1082" s="499"/>
      <c r="E1082" s="499"/>
      <c r="F1082" s="500"/>
      <c r="G1082" s="489" t="s">
        <v>273</v>
      </c>
      <c r="H1082" s="491">
        <v>1281.48</v>
      </c>
      <c r="I1082" s="417"/>
      <c r="J1082" s="491">
        <v>0.47</v>
      </c>
      <c r="K1082" s="404"/>
      <c r="L1082" s="491">
        <f t="shared" si="351"/>
        <v>0.47</v>
      </c>
      <c r="M1082" s="491">
        <f t="shared" si="352"/>
        <v>0</v>
      </c>
      <c r="N1082" s="491">
        <f t="shared" si="353"/>
        <v>602.29559999999992</v>
      </c>
      <c r="O1082" s="404">
        <f t="shared" si="354"/>
        <v>0</v>
      </c>
      <c r="P1082" s="507">
        <f t="shared" si="355"/>
        <v>602.29559999999992</v>
      </c>
    </row>
    <row r="1083" spans="1:16" s="413" customFormat="1" ht="18">
      <c r="A1083" s="433"/>
      <c r="B1083" s="488"/>
      <c r="C1083" s="498" t="s">
        <v>380</v>
      </c>
      <c r="D1083" s="499"/>
      <c r="E1083" s="499"/>
      <c r="F1083" s="500"/>
      <c r="G1083" s="489" t="s">
        <v>273</v>
      </c>
      <c r="H1083" s="491">
        <v>1281.48</v>
      </c>
      <c r="I1083" s="417"/>
      <c r="J1083" s="491">
        <v>2.0099999999999998</v>
      </c>
      <c r="K1083" s="404"/>
      <c r="L1083" s="491">
        <f t="shared" si="351"/>
        <v>2.0099999999999998</v>
      </c>
      <c r="M1083" s="491">
        <f t="shared" si="352"/>
        <v>0</v>
      </c>
      <c r="N1083" s="491">
        <f t="shared" si="353"/>
        <v>2575.7747999999997</v>
      </c>
      <c r="O1083" s="404">
        <f t="shared" si="354"/>
        <v>0</v>
      </c>
      <c r="P1083" s="507">
        <f t="shared" si="355"/>
        <v>2575.7747999999997</v>
      </c>
    </row>
    <row r="1084" spans="1:16" s="413" customFormat="1" ht="18">
      <c r="A1084" s="433"/>
      <c r="B1084" s="488"/>
      <c r="C1084" s="498" t="s">
        <v>381</v>
      </c>
      <c r="D1084" s="499"/>
      <c r="E1084" s="499"/>
      <c r="F1084" s="500"/>
      <c r="G1084" s="489" t="s">
        <v>273</v>
      </c>
      <c r="H1084" s="491">
        <v>1281.48</v>
      </c>
      <c r="I1084" s="417"/>
      <c r="J1084" s="491">
        <v>3.6</v>
      </c>
      <c r="K1084" s="404"/>
      <c r="L1084" s="491">
        <f t="shared" si="351"/>
        <v>3.6</v>
      </c>
      <c r="M1084" s="491">
        <f t="shared" si="352"/>
        <v>0</v>
      </c>
      <c r="N1084" s="491">
        <f t="shared" si="353"/>
        <v>4613.3280000000004</v>
      </c>
      <c r="O1084" s="404">
        <f t="shared" si="354"/>
        <v>0</v>
      </c>
      <c r="P1084" s="507">
        <f t="shared" si="355"/>
        <v>4613.3280000000004</v>
      </c>
    </row>
    <row r="1085" spans="1:16" s="413" customFormat="1" ht="18">
      <c r="A1085" s="433"/>
      <c r="B1085" s="488"/>
      <c r="C1085" s="498" t="s">
        <v>382</v>
      </c>
      <c r="D1085" s="499"/>
      <c r="E1085" s="499"/>
      <c r="F1085" s="500"/>
      <c r="G1085" s="489" t="s">
        <v>273</v>
      </c>
      <c r="H1085" s="491">
        <v>1281.48</v>
      </c>
      <c r="I1085" s="417"/>
      <c r="J1085" s="491">
        <v>2.0699999999999998</v>
      </c>
      <c r="K1085" s="404"/>
      <c r="L1085" s="491">
        <f t="shared" si="351"/>
        <v>2.0699999999999998</v>
      </c>
      <c r="M1085" s="491">
        <f t="shared" si="352"/>
        <v>0</v>
      </c>
      <c r="N1085" s="491">
        <f t="shared" si="353"/>
        <v>2652.6635999999999</v>
      </c>
      <c r="O1085" s="404">
        <f t="shared" si="354"/>
        <v>0</v>
      </c>
      <c r="P1085" s="507">
        <f t="shared" si="355"/>
        <v>2652.6635999999999</v>
      </c>
    </row>
    <row r="1086" spans="1:16" s="413" customFormat="1" ht="18">
      <c r="A1086" s="433"/>
      <c r="B1086" s="488"/>
      <c r="C1086" s="498" t="s">
        <v>383</v>
      </c>
      <c r="D1086" s="499"/>
      <c r="E1086" s="499"/>
      <c r="F1086" s="500"/>
      <c r="G1086" s="489" t="s">
        <v>273</v>
      </c>
      <c r="H1086" s="491">
        <v>1281.48</v>
      </c>
      <c r="I1086" s="417"/>
      <c r="J1086" s="491">
        <v>3.68</v>
      </c>
      <c r="K1086" s="404"/>
      <c r="L1086" s="491">
        <f t="shared" si="351"/>
        <v>3.68</v>
      </c>
      <c r="M1086" s="491">
        <f t="shared" si="352"/>
        <v>0</v>
      </c>
      <c r="N1086" s="491">
        <f t="shared" si="353"/>
        <v>4715.8464000000004</v>
      </c>
      <c r="O1086" s="404">
        <f t="shared" si="354"/>
        <v>0</v>
      </c>
      <c r="P1086" s="507">
        <f t="shared" si="355"/>
        <v>4715.8464000000004</v>
      </c>
    </row>
    <row r="1087" spans="1:16" s="413" customFormat="1" ht="18">
      <c r="A1087" s="433"/>
      <c r="B1087" s="488"/>
      <c r="C1087" s="498" t="s">
        <v>384</v>
      </c>
      <c r="D1087" s="499"/>
      <c r="E1087" s="499"/>
      <c r="F1087" s="500"/>
      <c r="G1087" s="489" t="s">
        <v>273</v>
      </c>
      <c r="H1087" s="491">
        <v>1281.48</v>
      </c>
      <c r="I1087" s="417">
        <v>5.31</v>
      </c>
      <c r="J1087" s="491">
        <v>9.8000000000000007</v>
      </c>
      <c r="K1087" s="404"/>
      <c r="L1087" s="491">
        <f t="shared" si="351"/>
        <v>9.8000000000000007</v>
      </c>
      <c r="M1087" s="491">
        <f t="shared" si="352"/>
        <v>6804.6587999999992</v>
      </c>
      <c r="N1087" s="491">
        <f t="shared" si="353"/>
        <v>12558.504000000001</v>
      </c>
      <c r="O1087" s="404">
        <f t="shared" si="354"/>
        <v>0</v>
      </c>
      <c r="P1087" s="507">
        <f t="shared" si="355"/>
        <v>12558.504000000001</v>
      </c>
    </row>
    <row r="1088" spans="1:16" s="413" customFormat="1" ht="18">
      <c r="A1088" s="433"/>
      <c r="B1088" s="488"/>
      <c r="C1088" s="498" t="s">
        <v>385</v>
      </c>
      <c r="D1088" s="499"/>
      <c r="E1088" s="499"/>
      <c r="F1088" s="500"/>
      <c r="G1088" s="489" t="s">
        <v>273</v>
      </c>
      <c r="H1088" s="491">
        <v>1281.48</v>
      </c>
      <c r="I1088" s="417">
        <v>10.11</v>
      </c>
      <c r="J1088" s="491">
        <v>13.02</v>
      </c>
      <c r="K1088" s="404"/>
      <c r="L1088" s="491">
        <f t="shared" si="351"/>
        <v>13.02</v>
      </c>
      <c r="M1088" s="491">
        <f t="shared" si="352"/>
        <v>12955.762799999999</v>
      </c>
      <c r="N1088" s="491">
        <f t="shared" si="353"/>
        <v>16684.869599999998</v>
      </c>
      <c r="O1088" s="404">
        <f t="shared" si="354"/>
        <v>0</v>
      </c>
      <c r="P1088" s="507">
        <f t="shared" si="355"/>
        <v>16684.869599999998</v>
      </c>
    </row>
    <row r="1089" spans="1:18" s="413" customFormat="1" ht="18">
      <c r="A1089" s="433"/>
      <c r="B1089" s="488"/>
      <c r="C1089" s="498" t="s">
        <v>386</v>
      </c>
      <c r="D1089" s="499"/>
      <c r="E1089" s="499"/>
      <c r="F1089" s="500"/>
      <c r="G1089" s="489" t="s">
        <v>273</v>
      </c>
      <c r="H1089" s="491">
        <v>1281.48</v>
      </c>
      <c r="I1089" s="417">
        <v>3.06</v>
      </c>
      <c r="J1089" s="491">
        <v>4.04</v>
      </c>
      <c r="K1089" s="404"/>
      <c r="L1089" s="491">
        <f t="shared" si="351"/>
        <v>4.04</v>
      </c>
      <c r="M1089" s="491">
        <f t="shared" si="352"/>
        <v>3921.3288000000002</v>
      </c>
      <c r="N1089" s="491">
        <f t="shared" si="353"/>
        <v>5177.1792000000005</v>
      </c>
      <c r="O1089" s="404">
        <f t="shared" si="354"/>
        <v>0</v>
      </c>
      <c r="P1089" s="507">
        <f t="shared" si="355"/>
        <v>5177.1792000000005</v>
      </c>
    </row>
    <row r="1090" spans="1:18" s="413" customFormat="1" ht="15.75">
      <c r="A1090" s="433"/>
      <c r="B1090" s="488"/>
      <c r="C1090" s="498"/>
      <c r="D1090" s="499"/>
      <c r="E1090" s="499"/>
      <c r="F1090" s="500"/>
      <c r="G1090" s="489"/>
      <c r="H1090" s="491"/>
      <c r="I1090" s="417"/>
      <c r="J1090" s="491"/>
      <c r="K1090" s="404"/>
      <c r="L1090" s="491"/>
      <c r="M1090" s="491"/>
      <c r="N1090" s="491"/>
      <c r="O1090" s="404"/>
      <c r="P1090" s="507"/>
    </row>
    <row r="1091" spans="1:18" s="413" customFormat="1" ht="15.75">
      <c r="A1091" s="433"/>
      <c r="B1091" s="488" t="s">
        <v>387</v>
      </c>
      <c r="C1091" s="498" t="s">
        <v>399</v>
      </c>
      <c r="D1091" s="499"/>
      <c r="E1091" s="499"/>
      <c r="F1091" s="500"/>
      <c r="G1091" s="489"/>
      <c r="H1091" s="491"/>
      <c r="I1091" s="417"/>
      <c r="J1091" s="491"/>
      <c r="K1091" s="404"/>
      <c r="L1091" s="491"/>
      <c r="M1091" s="491"/>
      <c r="N1091" s="491"/>
      <c r="O1091" s="404"/>
      <c r="P1091" s="507"/>
    </row>
    <row r="1092" spans="1:18" s="413" customFormat="1" ht="18">
      <c r="A1092" s="433"/>
      <c r="B1092" s="488"/>
      <c r="C1092" s="498" t="s">
        <v>375</v>
      </c>
      <c r="D1092" s="499"/>
      <c r="E1092" s="499"/>
      <c r="F1092" s="500"/>
      <c r="G1092" s="489" t="s">
        <v>275</v>
      </c>
      <c r="H1092" s="491">
        <v>59.08</v>
      </c>
      <c r="I1092" s="417"/>
      <c r="J1092" s="491">
        <v>8.9600000000000009</v>
      </c>
      <c r="K1092" s="404"/>
      <c r="L1092" s="491">
        <f t="shared" si="351"/>
        <v>8.9600000000000009</v>
      </c>
      <c r="M1092" s="491">
        <f t="shared" si="352"/>
        <v>0</v>
      </c>
      <c r="N1092" s="491">
        <f t="shared" si="353"/>
        <v>529.35680000000002</v>
      </c>
      <c r="O1092" s="404">
        <f t="shared" si="354"/>
        <v>0</v>
      </c>
      <c r="P1092" s="507">
        <f t="shared" si="355"/>
        <v>529.35680000000002</v>
      </c>
    </row>
    <row r="1093" spans="1:18" s="413" customFormat="1" ht="18">
      <c r="A1093" s="433"/>
      <c r="B1093" s="488"/>
      <c r="C1093" s="498" t="s">
        <v>379</v>
      </c>
      <c r="D1093" s="499"/>
      <c r="E1093" s="499"/>
      <c r="F1093" s="500"/>
      <c r="G1093" s="489" t="s">
        <v>275</v>
      </c>
      <c r="H1093" s="491">
        <v>59.08</v>
      </c>
      <c r="I1093" s="417"/>
      <c r="J1093" s="491">
        <v>11.29</v>
      </c>
      <c r="K1093" s="404"/>
      <c r="L1093" s="491">
        <f t="shared" si="351"/>
        <v>11.29</v>
      </c>
      <c r="M1093" s="491">
        <f t="shared" si="352"/>
        <v>0</v>
      </c>
      <c r="N1093" s="491">
        <f t="shared" si="353"/>
        <v>667.01319999999998</v>
      </c>
      <c r="O1093" s="404">
        <f t="shared" si="354"/>
        <v>0</v>
      </c>
      <c r="P1093" s="507">
        <f t="shared" si="355"/>
        <v>667.01319999999998</v>
      </c>
    </row>
    <row r="1094" spans="1:18" s="413" customFormat="1" ht="18">
      <c r="A1094" s="433"/>
      <c r="B1094" s="488"/>
      <c r="C1094" s="498" t="s">
        <v>380</v>
      </c>
      <c r="D1094" s="499"/>
      <c r="E1094" s="499"/>
      <c r="F1094" s="500"/>
      <c r="G1094" s="489" t="s">
        <v>275</v>
      </c>
      <c r="H1094" s="491">
        <v>59.08</v>
      </c>
      <c r="I1094" s="417"/>
      <c r="J1094" s="491">
        <v>16.559999999999999</v>
      </c>
      <c r="K1094" s="404"/>
      <c r="L1094" s="491">
        <f t="shared" si="351"/>
        <v>16.559999999999999</v>
      </c>
      <c r="M1094" s="491">
        <f t="shared" si="352"/>
        <v>0</v>
      </c>
      <c r="N1094" s="491">
        <f t="shared" si="353"/>
        <v>978.36479999999995</v>
      </c>
      <c r="O1094" s="404">
        <f t="shared" si="354"/>
        <v>0</v>
      </c>
      <c r="P1094" s="507">
        <f t="shared" si="355"/>
        <v>978.36479999999995</v>
      </c>
    </row>
    <row r="1095" spans="1:18" s="413" customFormat="1" ht="18">
      <c r="A1095" s="433"/>
      <c r="B1095" s="488"/>
      <c r="C1095" s="498" t="s">
        <v>381</v>
      </c>
      <c r="D1095" s="499"/>
      <c r="E1095" s="499"/>
      <c r="F1095" s="500"/>
      <c r="G1095" s="489" t="s">
        <v>275</v>
      </c>
      <c r="H1095" s="491">
        <v>59.08</v>
      </c>
      <c r="I1095" s="417"/>
      <c r="J1095" s="491">
        <v>48</v>
      </c>
      <c r="K1095" s="404"/>
      <c r="L1095" s="491">
        <f t="shared" si="351"/>
        <v>48</v>
      </c>
      <c r="M1095" s="491">
        <f t="shared" si="352"/>
        <v>0</v>
      </c>
      <c r="N1095" s="491">
        <f t="shared" si="353"/>
        <v>2835.84</v>
      </c>
      <c r="O1095" s="404">
        <f t="shared" si="354"/>
        <v>0</v>
      </c>
      <c r="P1095" s="507">
        <f t="shared" si="355"/>
        <v>2835.84</v>
      </c>
    </row>
    <row r="1096" spans="1:18" s="413" customFormat="1" ht="18">
      <c r="A1096" s="433"/>
      <c r="B1096" s="488"/>
      <c r="C1096" s="498" t="s">
        <v>382</v>
      </c>
      <c r="D1096" s="499"/>
      <c r="E1096" s="499"/>
      <c r="F1096" s="500"/>
      <c r="G1096" s="489" t="s">
        <v>275</v>
      </c>
      <c r="H1096" s="491">
        <v>59.08</v>
      </c>
      <c r="I1096" s="417"/>
      <c r="J1096" s="491">
        <v>36.72</v>
      </c>
      <c r="K1096" s="404"/>
      <c r="L1096" s="491">
        <f t="shared" si="351"/>
        <v>36.72</v>
      </c>
      <c r="M1096" s="491">
        <f t="shared" si="352"/>
        <v>0</v>
      </c>
      <c r="N1096" s="491">
        <f t="shared" si="353"/>
        <v>2169.4175999999998</v>
      </c>
      <c r="O1096" s="404">
        <f t="shared" si="354"/>
        <v>0</v>
      </c>
      <c r="P1096" s="507">
        <f t="shared" si="355"/>
        <v>2169.4175999999998</v>
      </c>
    </row>
    <row r="1097" spans="1:18" s="413" customFormat="1" ht="18">
      <c r="A1097" s="433"/>
      <c r="B1097" s="488"/>
      <c r="C1097" s="498" t="s">
        <v>383</v>
      </c>
      <c r="D1097" s="499"/>
      <c r="E1097" s="499"/>
      <c r="F1097" s="500"/>
      <c r="G1097" s="489" t="s">
        <v>275</v>
      </c>
      <c r="H1097" s="491">
        <v>59.08</v>
      </c>
      <c r="I1097" s="417"/>
      <c r="J1097" s="491">
        <v>22.08</v>
      </c>
      <c r="K1097" s="404"/>
      <c r="L1097" s="491">
        <f t="shared" si="351"/>
        <v>22.08</v>
      </c>
      <c r="M1097" s="491">
        <f t="shared" si="352"/>
        <v>0</v>
      </c>
      <c r="N1097" s="491">
        <f t="shared" si="353"/>
        <v>1304.4863999999998</v>
      </c>
      <c r="O1097" s="404">
        <f t="shared" si="354"/>
        <v>0</v>
      </c>
      <c r="P1097" s="507">
        <f t="shared" si="355"/>
        <v>1304.4863999999998</v>
      </c>
    </row>
    <row r="1098" spans="1:18" s="413" customFormat="1" ht="15.75">
      <c r="A1098" s="433"/>
      <c r="B1098" s="488"/>
      <c r="C1098" s="498"/>
      <c r="D1098" s="499"/>
      <c r="E1098" s="499"/>
      <c r="F1098" s="500"/>
      <c r="G1098" s="489"/>
      <c r="H1098" s="491"/>
      <c r="I1098" s="417"/>
      <c r="J1098" s="491"/>
      <c r="K1098" s="404"/>
      <c r="L1098" s="491"/>
      <c r="M1098" s="491"/>
      <c r="N1098" s="491"/>
      <c r="O1098" s="404"/>
      <c r="P1098" s="507"/>
    </row>
    <row r="1099" spans="1:18" s="413" customFormat="1" ht="18">
      <c r="A1099" s="433"/>
      <c r="B1099" s="488"/>
      <c r="C1099" s="498" t="s">
        <v>384</v>
      </c>
      <c r="D1099" s="499"/>
      <c r="E1099" s="499"/>
      <c r="F1099" s="500"/>
      <c r="G1099" s="489" t="s">
        <v>275</v>
      </c>
      <c r="H1099" s="491">
        <v>59.08</v>
      </c>
      <c r="I1099" s="417">
        <v>4.9000000000000004</v>
      </c>
      <c r="J1099" s="491">
        <v>49</v>
      </c>
      <c r="K1099" s="404"/>
      <c r="L1099" s="491">
        <f t="shared" si="351"/>
        <v>49</v>
      </c>
      <c r="M1099" s="491">
        <f t="shared" si="352"/>
        <v>289.49200000000002</v>
      </c>
      <c r="N1099" s="491">
        <f t="shared" si="353"/>
        <v>2894.92</v>
      </c>
      <c r="O1099" s="404">
        <f t="shared" si="354"/>
        <v>0</v>
      </c>
      <c r="P1099" s="507">
        <f t="shared" si="355"/>
        <v>2894.92</v>
      </c>
    </row>
    <row r="1100" spans="1:18" s="413" customFormat="1" ht="18">
      <c r="A1100" s="433"/>
      <c r="B1100" s="488"/>
      <c r="C1100" s="498" t="s">
        <v>385</v>
      </c>
      <c r="D1100" s="499"/>
      <c r="E1100" s="499"/>
      <c r="F1100" s="500"/>
      <c r="G1100" s="489" t="s">
        <v>275</v>
      </c>
      <c r="H1100" s="491">
        <v>59.08</v>
      </c>
      <c r="I1100" s="417">
        <v>101.11</v>
      </c>
      <c r="J1100" s="491">
        <v>130.24</v>
      </c>
      <c r="K1100" s="404"/>
      <c r="L1100" s="491">
        <f t="shared" si="351"/>
        <v>130.24</v>
      </c>
      <c r="M1100" s="491">
        <f t="shared" si="352"/>
        <v>5973.5788000000002</v>
      </c>
      <c r="N1100" s="491">
        <f t="shared" si="353"/>
        <v>7694.5792000000001</v>
      </c>
      <c r="O1100" s="404">
        <f t="shared" si="354"/>
        <v>0</v>
      </c>
      <c r="P1100" s="507">
        <f t="shared" si="355"/>
        <v>7694.5792000000001</v>
      </c>
    </row>
    <row r="1101" spans="1:18" s="413" customFormat="1" ht="18">
      <c r="A1101" s="433"/>
      <c r="B1101" s="488"/>
      <c r="C1101" s="498" t="s">
        <v>386</v>
      </c>
      <c r="D1101" s="499"/>
      <c r="E1101" s="499"/>
      <c r="F1101" s="500"/>
      <c r="G1101" s="489" t="s">
        <v>275</v>
      </c>
      <c r="H1101" s="491">
        <v>59.08</v>
      </c>
      <c r="I1101" s="417">
        <v>22.68</v>
      </c>
      <c r="J1101" s="491">
        <v>23.04</v>
      </c>
      <c r="K1101" s="404"/>
      <c r="L1101" s="491">
        <f t="shared" si="351"/>
        <v>23.04</v>
      </c>
      <c r="M1101" s="491">
        <f t="shared" si="352"/>
        <v>1339.9343999999999</v>
      </c>
      <c r="N1101" s="491">
        <f t="shared" si="353"/>
        <v>1361.2031999999999</v>
      </c>
      <c r="O1101" s="404">
        <f t="shared" si="354"/>
        <v>0</v>
      </c>
      <c r="P1101" s="507">
        <f t="shared" si="355"/>
        <v>1361.2031999999999</v>
      </c>
      <c r="R1101" s="413">
        <f>9.8/0.3</f>
        <v>32.666666666666671</v>
      </c>
    </row>
    <row r="1102" spans="1:18" s="413" customFormat="1" ht="15.75">
      <c r="A1102" s="433"/>
      <c r="B1102" s="488"/>
      <c r="C1102" s="498"/>
      <c r="D1102" s="499"/>
      <c r="E1102" s="499"/>
      <c r="F1102" s="500"/>
      <c r="G1102" s="489"/>
      <c r="H1102" s="491"/>
      <c r="I1102" s="417"/>
      <c r="J1102" s="491"/>
      <c r="K1102" s="404"/>
      <c r="L1102" s="491"/>
      <c r="M1102" s="491"/>
      <c r="N1102" s="491"/>
      <c r="O1102" s="404"/>
      <c r="P1102" s="507"/>
    </row>
    <row r="1103" spans="1:18" s="413" customFormat="1" ht="15.75">
      <c r="A1103" s="433"/>
      <c r="B1103" s="488" t="s">
        <v>389</v>
      </c>
      <c r="C1103" s="498" t="s">
        <v>390</v>
      </c>
      <c r="D1103" s="499"/>
      <c r="E1103" s="499"/>
      <c r="F1103" s="500"/>
      <c r="G1103" s="489"/>
      <c r="H1103" s="491"/>
      <c r="I1103" s="417"/>
      <c r="J1103" s="491"/>
      <c r="K1103" s="404"/>
      <c r="L1103" s="491"/>
      <c r="M1103" s="491"/>
      <c r="N1103" s="491"/>
      <c r="O1103" s="404"/>
      <c r="P1103" s="507"/>
    </row>
    <row r="1104" spans="1:18" s="413" customFormat="1" ht="15.75">
      <c r="A1104" s="433"/>
      <c r="B1104" s="488"/>
      <c r="C1104" s="498" t="s">
        <v>391</v>
      </c>
      <c r="D1104" s="499"/>
      <c r="E1104" s="499"/>
      <c r="F1104" s="500"/>
      <c r="G1104" s="489" t="s">
        <v>103</v>
      </c>
      <c r="H1104" s="491">
        <v>2.0099999999999998</v>
      </c>
      <c r="I1104" s="417">
        <v>1335.29</v>
      </c>
      <c r="J1104" s="491">
        <v>453.78</v>
      </c>
      <c r="K1104" s="404"/>
      <c r="L1104" s="491">
        <f t="shared" si="351"/>
        <v>453.78</v>
      </c>
      <c r="M1104" s="491">
        <f t="shared" si="352"/>
        <v>2683.9328999999998</v>
      </c>
      <c r="N1104" s="491">
        <f t="shared" si="353"/>
        <v>912.09779999999989</v>
      </c>
      <c r="O1104" s="404">
        <f t="shared" si="354"/>
        <v>0</v>
      </c>
      <c r="P1104" s="507">
        <f t="shared" si="355"/>
        <v>912.09779999999989</v>
      </c>
    </row>
    <row r="1105" spans="1:16" s="413" customFormat="1" ht="15.75">
      <c r="A1105" s="433"/>
      <c r="B1105" s="488"/>
      <c r="C1105" s="498" t="s">
        <v>392</v>
      </c>
      <c r="D1105" s="499"/>
      <c r="E1105" s="499"/>
      <c r="F1105" s="500"/>
      <c r="G1105" s="489" t="s">
        <v>103</v>
      </c>
      <c r="H1105" s="491">
        <v>2.0099999999999998</v>
      </c>
      <c r="I1105" s="417">
        <v>2597.4899999999998</v>
      </c>
      <c r="J1105" s="491">
        <v>314.79000000000002</v>
      </c>
      <c r="K1105" s="404"/>
      <c r="L1105" s="491">
        <f t="shared" si="351"/>
        <v>314.79000000000002</v>
      </c>
      <c r="M1105" s="491">
        <f t="shared" si="352"/>
        <v>5220.9548999999988</v>
      </c>
      <c r="N1105" s="491">
        <f t="shared" si="353"/>
        <v>632.72789999999998</v>
      </c>
      <c r="O1105" s="404">
        <f t="shared" si="354"/>
        <v>0</v>
      </c>
      <c r="P1105" s="507">
        <f t="shared" si="355"/>
        <v>632.72789999999998</v>
      </c>
    </row>
    <row r="1106" spans="1:16" s="413" customFormat="1" ht="15.75">
      <c r="A1106" s="433"/>
      <c r="B1106" s="488"/>
      <c r="C1106" s="498" t="s">
        <v>393</v>
      </c>
      <c r="D1106" s="499"/>
      <c r="E1106" s="499"/>
      <c r="F1106" s="500"/>
      <c r="G1106" s="489" t="s">
        <v>103</v>
      </c>
      <c r="H1106" s="491">
        <v>1.59</v>
      </c>
      <c r="I1106" s="417">
        <v>10775.18</v>
      </c>
      <c r="J1106" s="491">
        <v>4128.03</v>
      </c>
      <c r="K1106" s="404"/>
      <c r="L1106" s="491">
        <f t="shared" si="351"/>
        <v>4128.03</v>
      </c>
      <c r="M1106" s="491">
        <f t="shared" si="352"/>
        <v>17132.536200000002</v>
      </c>
      <c r="N1106" s="491">
        <f t="shared" si="353"/>
        <v>6563.5676999999996</v>
      </c>
      <c r="O1106" s="404">
        <f t="shared" si="354"/>
        <v>0</v>
      </c>
      <c r="P1106" s="507">
        <f t="shared" si="355"/>
        <v>6563.5676999999996</v>
      </c>
    </row>
    <row r="1107" spans="1:16" s="413" customFormat="1" ht="15.75">
      <c r="A1107" s="433"/>
      <c r="B1107" s="488"/>
      <c r="C1107" s="498" t="s">
        <v>394</v>
      </c>
      <c r="D1107" s="499"/>
      <c r="E1107" s="499"/>
      <c r="F1107" s="500"/>
      <c r="G1107" s="489" t="s">
        <v>103</v>
      </c>
      <c r="H1107" s="491">
        <v>1.59</v>
      </c>
      <c r="I1107" s="417">
        <v>875.2</v>
      </c>
      <c r="J1107" s="491">
        <v>398.49</v>
      </c>
      <c r="K1107" s="404"/>
      <c r="L1107" s="491">
        <f t="shared" si="351"/>
        <v>398.49</v>
      </c>
      <c r="M1107" s="491">
        <f t="shared" si="352"/>
        <v>1391.5680000000002</v>
      </c>
      <c r="N1107" s="491">
        <f t="shared" si="353"/>
        <v>633.59910000000002</v>
      </c>
      <c r="O1107" s="404">
        <f t="shared" si="354"/>
        <v>0</v>
      </c>
      <c r="P1107" s="507">
        <f t="shared" si="355"/>
        <v>633.59910000000002</v>
      </c>
    </row>
    <row r="1108" spans="1:16" s="413" customFormat="1" ht="15.75">
      <c r="A1108" s="433"/>
      <c r="B1108" s="488"/>
      <c r="C1108" s="498" t="s">
        <v>395</v>
      </c>
      <c r="D1108" s="499"/>
      <c r="E1108" s="499"/>
      <c r="F1108" s="500"/>
      <c r="G1108" s="489" t="s">
        <v>103</v>
      </c>
      <c r="H1108" s="491">
        <v>1.59</v>
      </c>
      <c r="I1108" s="417">
        <v>1782.82</v>
      </c>
      <c r="J1108" s="491">
        <v>1588.35</v>
      </c>
      <c r="K1108" s="404"/>
      <c r="L1108" s="491">
        <f t="shared" si="351"/>
        <v>1588.35</v>
      </c>
      <c r="M1108" s="491">
        <f t="shared" si="352"/>
        <v>2834.6838000000002</v>
      </c>
      <c r="N1108" s="491">
        <f t="shared" si="353"/>
        <v>2525.4764999999998</v>
      </c>
      <c r="O1108" s="404">
        <f t="shared" si="354"/>
        <v>0</v>
      </c>
      <c r="P1108" s="507">
        <f t="shared" si="355"/>
        <v>2525.4764999999998</v>
      </c>
    </row>
    <row r="1109" spans="1:16" s="413" customFormat="1" ht="15.75">
      <c r="A1109" s="433"/>
      <c r="B1109" s="488"/>
      <c r="C1109" s="498"/>
      <c r="D1109" s="499"/>
      <c r="E1109" s="499"/>
      <c r="F1109" s="500"/>
      <c r="G1109" s="489"/>
      <c r="H1109" s="491"/>
      <c r="I1109" s="417"/>
      <c r="J1109" s="491"/>
      <c r="K1109" s="404"/>
      <c r="L1109" s="491"/>
      <c r="M1109" s="491"/>
      <c r="N1109" s="491"/>
      <c r="O1109" s="404"/>
      <c r="P1109" s="507"/>
    </row>
    <row r="1110" spans="1:16" s="413" customFormat="1" ht="15.75">
      <c r="A1110" s="433"/>
      <c r="B1110" s="488" t="s">
        <v>396</v>
      </c>
      <c r="C1110" s="498" t="s">
        <v>397</v>
      </c>
      <c r="D1110" s="499"/>
      <c r="E1110" s="499"/>
      <c r="F1110" s="500"/>
      <c r="G1110" s="489" t="s">
        <v>254</v>
      </c>
      <c r="H1110" s="491">
        <v>168.19</v>
      </c>
      <c r="I1110" s="417">
        <v>33.46</v>
      </c>
      <c r="J1110" s="491">
        <v>59.2</v>
      </c>
      <c r="K1110" s="404"/>
      <c r="L1110" s="491">
        <f t="shared" si="351"/>
        <v>59.2</v>
      </c>
      <c r="M1110" s="491">
        <f t="shared" si="352"/>
        <v>5627.6373999999996</v>
      </c>
      <c r="N1110" s="491">
        <f t="shared" si="353"/>
        <v>9956.848</v>
      </c>
      <c r="O1110" s="404">
        <f t="shared" si="354"/>
        <v>0</v>
      </c>
      <c r="P1110" s="507">
        <f t="shared" si="355"/>
        <v>9956.848</v>
      </c>
    </row>
    <row r="1111" spans="1:16" s="413" customFormat="1" ht="15.75">
      <c r="A1111" s="433"/>
      <c r="B1111" s="488"/>
      <c r="C1111" s="498"/>
      <c r="D1111" s="499"/>
      <c r="E1111" s="499"/>
      <c r="F1111" s="500"/>
      <c r="G1111" s="489"/>
      <c r="H1111" s="491"/>
      <c r="I1111" s="417"/>
      <c r="J1111" s="491"/>
      <c r="K1111" s="404"/>
      <c r="L1111" s="491"/>
      <c r="M1111" s="491"/>
      <c r="N1111" s="491"/>
      <c r="O1111" s="404"/>
      <c r="P1111" s="507"/>
    </row>
    <row r="1112" spans="1:16" s="413" customFormat="1" ht="15.75">
      <c r="A1112" s="433"/>
      <c r="B1112" s="488"/>
      <c r="C1112" s="501" t="s">
        <v>398</v>
      </c>
      <c r="D1112" s="502"/>
      <c r="E1112" s="502"/>
      <c r="F1112" s="500"/>
      <c r="G1112" s="489"/>
      <c r="H1112" s="491"/>
      <c r="I1112" s="417"/>
      <c r="J1112" s="491"/>
      <c r="K1112" s="404"/>
      <c r="L1112" s="491"/>
      <c r="M1112" s="491"/>
      <c r="N1112" s="491"/>
      <c r="O1112" s="404"/>
      <c r="P1112" s="507"/>
    </row>
    <row r="1113" spans="1:16" s="413" customFormat="1" ht="15.75">
      <c r="A1113" s="433"/>
      <c r="B1113" s="488" t="s">
        <v>400</v>
      </c>
      <c r="C1113" s="498" t="s">
        <v>401</v>
      </c>
      <c r="D1113" s="499"/>
      <c r="E1113" s="499"/>
      <c r="F1113" s="500"/>
      <c r="G1113" s="489"/>
      <c r="H1113" s="491"/>
      <c r="I1113" s="417"/>
      <c r="J1113" s="491"/>
      <c r="K1113" s="404"/>
      <c r="L1113" s="491"/>
      <c r="M1113" s="491"/>
      <c r="N1113" s="491"/>
      <c r="O1113" s="404"/>
      <c r="P1113" s="507"/>
    </row>
    <row r="1114" spans="1:16" s="413" customFormat="1" ht="18">
      <c r="A1114" s="433"/>
      <c r="B1114" s="488"/>
      <c r="C1114" s="498" t="s">
        <v>402</v>
      </c>
      <c r="D1114" s="499"/>
      <c r="E1114" s="499"/>
      <c r="F1114" s="500"/>
      <c r="G1114" s="489" t="s">
        <v>275</v>
      </c>
      <c r="H1114" s="491">
        <v>66.45</v>
      </c>
      <c r="I1114" s="417">
        <v>123.8</v>
      </c>
      <c r="J1114" s="491">
        <v>92.92</v>
      </c>
      <c r="K1114" s="404"/>
      <c r="L1114" s="491">
        <f>J1114+K1114</f>
        <v>92.92</v>
      </c>
      <c r="M1114" s="491">
        <f>H1114*I1114</f>
        <v>8226.51</v>
      </c>
      <c r="N1114" s="491">
        <f>H1114*J1114</f>
        <v>6174.5340000000006</v>
      </c>
      <c r="O1114" s="404">
        <f>H1114*K1114</f>
        <v>0</v>
      </c>
      <c r="P1114" s="507">
        <f>H1114*L1114</f>
        <v>6174.5340000000006</v>
      </c>
    </row>
    <row r="1115" spans="1:16" s="413" customFormat="1" ht="18">
      <c r="A1115" s="433"/>
      <c r="B1115" s="488"/>
      <c r="C1115" s="498" t="s">
        <v>500</v>
      </c>
      <c r="D1115" s="499"/>
      <c r="E1115" s="499"/>
      <c r="F1115" s="500"/>
      <c r="G1115" s="489" t="s">
        <v>501</v>
      </c>
      <c r="H1115" s="491">
        <v>68.86</v>
      </c>
      <c r="I1115" s="417">
        <v>123.8</v>
      </c>
      <c r="J1115" s="491">
        <v>92.92</v>
      </c>
      <c r="K1115" s="404"/>
      <c r="L1115" s="491">
        <f>J1115+K1115</f>
        <v>92.92</v>
      </c>
      <c r="M1115" s="491">
        <f>H1115*I1115</f>
        <v>8524.8680000000004</v>
      </c>
      <c r="N1115" s="491">
        <f>H1115*J1115</f>
        <v>6398.4712</v>
      </c>
      <c r="O1115" s="404">
        <f>H1115*K1115</f>
        <v>0</v>
      </c>
      <c r="P1115" s="507">
        <f>H1115*L1115</f>
        <v>6398.4712</v>
      </c>
    </row>
    <row r="1116" spans="1:16" s="413" customFormat="1" ht="15.75">
      <c r="A1116" s="433"/>
      <c r="B1116" s="488"/>
      <c r="C1116" s="498"/>
      <c r="D1116" s="499"/>
      <c r="E1116" s="499"/>
      <c r="F1116" s="500"/>
      <c r="G1116" s="489"/>
      <c r="H1116" s="491"/>
      <c r="I1116" s="417"/>
      <c r="J1116" s="491"/>
      <c r="K1116" s="404"/>
      <c r="L1116" s="491"/>
      <c r="M1116" s="491"/>
      <c r="N1116" s="491"/>
      <c r="O1116" s="404"/>
      <c r="P1116" s="507"/>
    </row>
    <row r="1117" spans="1:16" s="413" customFormat="1" ht="15.75">
      <c r="A1117" s="433"/>
      <c r="B1117" s="488" t="s">
        <v>502</v>
      </c>
      <c r="C1117" s="498" t="s">
        <v>503</v>
      </c>
      <c r="D1117" s="499"/>
      <c r="E1117" s="499"/>
      <c r="F1117" s="500"/>
      <c r="G1117" s="489"/>
      <c r="H1117" s="491"/>
      <c r="I1117" s="417"/>
      <c r="J1117" s="491"/>
      <c r="K1117" s="404"/>
      <c r="L1117" s="491"/>
      <c r="M1117" s="491"/>
      <c r="N1117" s="491"/>
      <c r="O1117" s="404"/>
      <c r="P1117" s="507"/>
    </row>
    <row r="1118" spans="1:16" s="413" customFormat="1" ht="18">
      <c r="A1118" s="433"/>
      <c r="B1118" s="488"/>
      <c r="C1118" s="498" t="s">
        <v>504</v>
      </c>
      <c r="D1118" s="499"/>
      <c r="E1118" s="499"/>
      <c r="F1118" s="500"/>
      <c r="G1118" s="489" t="s">
        <v>275</v>
      </c>
      <c r="H1118" s="491">
        <v>60.05</v>
      </c>
      <c r="I1118" s="417">
        <v>63.6</v>
      </c>
      <c r="J1118" s="491">
        <v>92.92</v>
      </c>
      <c r="K1118" s="404"/>
      <c r="L1118" s="491">
        <f>J1118+K1118</f>
        <v>92.92</v>
      </c>
      <c r="M1118" s="491">
        <f>H1118*I1118</f>
        <v>3819.18</v>
      </c>
      <c r="N1118" s="491">
        <f>H1118*J1118</f>
        <v>5579.8459999999995</v>
      </c>
      <c r="O1118" s="404">
        <f>H1118*K1118</f>
        <v>0</v>
      </c>
      <c r="P1118" s="507">
        <f>H1118*L1118</f>
        <v>5579.8459999999995</v>
      </c>
    </row>
    <row r="1119" spans="1:16" s="413" customFormat="1" ht="15.75">
      <c r="A1119" s="433"/>
      <c r="B1119" s="488"/>
      <c r="C1119" s="498"/>
      <c r="D1119" s="499"/>
      <c r="E1119" s="499"/>
      <c r="F1119" s="500"/>
      <c r="G1119" s="489"/>
      <c r="H1119" s="491"/>
      <c r="I1119" s="417"/>
      <c r="J1119" s="491"/>
      <c r="K1119" s="404"/>
      <c r="L1119" s="491"/>
      <c r="M1119" s="491"/>
      <c r="N1119" s="491"/>
      <c r="O1119" s="404"/>
      <c r="P1119" s="507"/>
    </row>
    <row r="1120" spans="1:16" s="413" customFormat="1" ht="15.75">
      <c r="A1120" s="433"/>
      <c r="B1120" s="488" t="s">
        <v>755</v>
      </c>
      <c r="C1120" s="1452" t="s">
        <v>756</v>
      </c>
      <c r="D1120" s="1453"/>
      <c r="E1120" s="1453"/>
      <c r="F1120" s="1454"/>
      <c r="G1120" s="489"/>
      <c r="H1120" s="491"/>
      <c r="I1120" s="417"/>
      <c r="J1120" s="491"/>
      <c r="K1120" s="404"/>
      <c r="L1120" s="491"/>
      <c r="M1120" s="491"/>
      <c r="N1120" s="491"/>
      <c r="O1120" s="404"/>
      <c r="P1120" s="507"/>
    </row>
    <row r="1121" spans="1:16" s="413" customFormat="1" ht="15.75">
      <c r="A1121" s="433"/>
      <c r="B1121" s="488"/>
      <c r="C1121" s="1455"/>
      <c r="D1121" s="1456"/>
      <c r="E1121" s="1456"/>
      <c r="F1121" s="1457"/>
      <c r="G1121" s="489"/>
      <c r="H1121" s="491"/>
      <c r="I1121" s="417"/>
      <c r="J1121" s="491"/>
      <c r="K1121" s="404"/>
      <c r="L1121" s="491"/>
      <c r="M1121" s="491"/>
      <c r="N1121" s="491"/>
      <c r="O1121" s="404"/>
      <c r="P1121" s="507"/>
    </row>
    <row r="1122" spans="1:16" s="413" customFormat="1" ht="18">
      <c r="A1122" s="433"/>
      <c r="B1122" s="488"/>
      <c r="C1122" s="1458"/>
      <c r="D1122" s="1459"/>
      <c r="E1122" s="1459"/>
      <c r="F1122" s="1460"/>
      <c r="G1122" s="489" t="s">
        <v>275</v>
      </c>
      <c r="H1122" s="491">
        <v>290</v>
      </c>
      <c r="I1122" s="417">
        <v>17.399999999999999</v>
      </c>
      <c r="J1122" s="491">
        <v>27.5625</v>
      </c>
      <c r="K1122" s="404"/>
      <c r="L1122" s="491">
        <f>J1122+K1122</f>
        <v>27.5625</v>
      </c>
      <c r="M1122" s="491">
        <f>H1122*I1122</f>
        <v>5046</v>
      </c>
      <c r="N1122" s="491">
        <f>H1122*J1122</f>
        <v>7993.125</v>
      </c>
      <c r="O1122" s="404">
        <f>H1122*K1122</f>
        <v>0</v>
      </c>
      <c r="P1122" s="507">
        <f>H1122*L1122</f>
        <v>7993.125</v>
      </c>
    </row>
    <row r="1123" spans="1:16" s="413" customFormat="1" ht="15.75">
      <c r="A1123" s="433"/>
      <c r="B1123" s="488"/>
      <c r="C1123" s="498"/>
      <c r="D1123" s="499"/>
      <c r="E1123" s="499"/>
      <c r="F1123" s="500"/>
      <c r="G1123" s="489"/>
      <c r="H1123" s="491"/>
      <c r="I1123" s="417"/>
      <c r="J1123" s="491"/>
      <c r="K1123" s="404"/>
      <c r="L1123" s="491"/>
      <c r="M1123" s="491"/>
      <c r="N1123" s="491"/>
      <c r="O1123" s="404"/>
      <c r="P1123" s="507"/>
    </row>
    <row r="1124" spans="1:16" s="413" customFormat="1" ht="15.75">
      <c r="A1124" s="433"/>
      <c r="B1124" s="488" t="s">
        <v>505</v>
      </c>
      <c r="C1124" s="498" t="s">
        <v>506</v>
      </c>
      <c r="D1124" s="499"/>
      <c r="E1124" s="499"/>
      <c r="F1124" s="500"/>
      <c r="G1124" s="489"/>
      <c r="H1124" s="491"/>
      <c r="I1124" s="417"/>
      <c r="J1124" s="491"/>
      <c r="K1124" s="404"/>
      <c r="L1124" s="491"/>
      <c r="M1124" s="491"/>
      <c r="N1124" s="491"/>
      <c r="O1124" s="404"/>
      <c r="P1124" s="507"/>
    </row>
    <row r="1125" spans="1:16" s="413" customFormat="1" ht="18">
      <c r="A1125" s="433"/>
      <c r="B1125" s="488"/>
      <c r="C1125" s="498" t="s">
        <v>507</v>
      </c>
      <c r="D1125" s="499"/>
      <c r="E1125" s="499"/>
      <c r="F1125" s="500"/>
      <c r="G1125" s="489" t="s">
        <v>275</v>
      </c>
      <c r="H1125" s="491">
        <v>234</v>
      </c>
      <c r="I1125" s="417">
        <v>63.6</v>
      </c>
      <c r="J1125" s="491">
        <v>121.45</v>
      </c>
      <c r="K1125" s="404"/>
      <c r="L1125" s="491">
        <f>J1125+K1125</f>
        <v>121.45</v>
      </c>
      <c r="M1125" s="491">
        <f>H1125*I1125</f>
        <v>14882.4</v>
      </c>
      <c r="N1125" s="491">
        <f>H1125*J1125</f>
        <v>28419.3</v>
      </c>
      <c r="O1125" s="404">
        <f>H1125*K1125</f>
        <v>0</v>
      </c>
      <c r="P1125" s="507">
        <f>H1125*L1125</f>
        <v>28419.3</v>
      </c>
    </row>
    <row r="1126" spans="1:16" s="413" customFormat="1" ht="16.5" thickBot="1">
      <c r="A1126" s="433"/>
      <c r="B1126" s="492"/>
      <c r="C1126" s="504"/>
      <c r="D1126" s="505"/>
      <c r="E1126" s="505"/>
      <c r="F1126" s="506"/>
      <c r="G1126" s="493"/>
      <c r="H1126" s="490"/>
      <c r="I1126" s="419"/>
      <c r="J1126" s="490"/>
      <c r="K1126" s="406"/>
      <c r="L1126" s="490"/>
      <c r="M1126" s="490"/>
      <c r="N1126" s="490"/>
      <c r="O1126" s="406"/>
      <c r="P1126" s="508"/>
    </row>
    <row r="1127" spans="1:16" ht="17.25" thickTop="1" thickBot="1">
      <c r="A1127" s="260"/>
      <c r="B1127" s="276"/>
      <c r="C1127" s="277" t="s">
        <v>312</v>
      </c>
      <c r="D1127" s="278"/>
      <c r="E1127" s="278"/>
      <c r="F1127" s="279"/>
      <c r="G1127" s="280"/>
      <c r="H1127" s="281"/>
      <c r="I1127" s="420"/>
      <c r="J1127" s="281"/>
      <c r="K1127" s="407">
        <f t="shared" ref="K1127" si="356">SUM(K1066:K1126)</f>
        <v>0</v>
      </c>
      <c r="L1127" s="259"/>
      <c r="M1127" s="259">
        <f>SUM(M1056:M1126)</f>
        <v>121678.98699999999</v>
      </c>
      <c r="N1127" s="259">
        <f t="shared" ref="N1127:P1127" si="357">SUM(N1056:N1126)</f>
        <v>168406.31989999997</v>
      </c>
      <c r="O1127" s="407">
        <f t="shared" si="357"/>
        <v>0</v>
      </c>
      <c r="P1127" s="259">
        <f t="shared" si="357"/>
        <v>168406.31989999997</v>
      </c>
    </row>
    <row r="1128" spans="1:16" ht="16.5" thickTop="1">
      <c r="A1128" s="260"/>
      <c r="B1128" s="271"/>
      <c r="C1128" s="261"/>
      <c r="D1128" s="262"/>
      <c r="E1128" s="262"/>
      <c r="F1128" s="263"/>
      <c r="G1128" s="264"/>
      <c r="H1128" s="246"/>
      <c r="I1128" s="416"/>
      <c r="J1128" s="246"/>
      <c r="K1128" s="403"/>
      <c r="L1128" s="246"/>
      <c r="M1128" s="246"/>
      <c r="N1128" s="246"/>
      <c r="O1128" s="403"/>
      <c r="P1128" s="272"/>
    </row>
    <row r="1129" spans="1:16" ht="18">
      <c r="A1129" s="260"/>
      <c r="B1129" s="151" t="s">
        <v>913</v>
      </c>
      <c r="C1129" s="138" t="s">
        <v>403</v>
      </c>
      <c r="D1129" s="139"/>
      <c r="E1129" s="139"/>
      <c r="F1129" s="140"/>
      <c r="G1129" s="134"/>
      <c r="H1129" s="120"/>
      <c r="I1129" s="417"/>
      <c r="J1129" s="120"/>
      <c r="K1129" s="404"/>
      <c r="L1129" s="120"/>
      <c r="M1129" s="120"/>
      <c r="N1129" s="120"/>
      <c r="O1129" s="404"/>
      <c r="P1129" s="127"/>
    </row>
    <row r="1130" spans="1:16" ht="18">
      <c r="A1130" s="260"/>
      <c r="B1130" s="151"/>
      <c r="C1130" s="138"/>
      <c r="D1130" s="139"/>
      <c r="E1130" s="139"/>
      <c r="F1130" s="140"/>
      <c r="G1130" s="399"/>
      <c r="H1130" s="120"/>
      <c r="I1130" s="417"/>
      <c r="J1130" s="120"/>
      <c r="K1130" s="404"/>
      <c r="L1130" s="120"/>
      <c r="M1130" s="120"/>
      <c r="N1130" s="120"/>
      <c r="O1130" s="404"/>
      <c r="P1130" s="127"/>
    </row>
    <row r="1131" spans="1:16" ht="15.75">
      <c r="A1131" s="260"/>
      <c r="B1131" s="147" t="s">
        <v>1072</v>
      </c>
      <c r="C1131" s="132" t="s">
        <v>1073</v>
      </c>
      <c r="D1131" s="129"/>
      <c r="E1131" s="129"/>
      <c r="F1131" s="130"/>
      <c r="G1131" s="134"/>
      <c r="H1131" s="120"/>
      <c r="I1131" s="417"/>
      <c r="J1131" s="120"/>
      <c r="K1131" s="404"/>
      <c r="L1131" s="120"/>
      <c r="M1131" s="120"/>
      <c r="N1131" s="120"/>
      <c r="O1131" s="404"/>
      <c r="P1131" s="127"/>
    </row>
    <row r="1132" spans="1:16" ht="15.75">
      <c r="A1132" s="260"/>
      <c r="B1132" s="147"/>
      <c r="C1132" s="132" t="s">
        <v>1074</v>
      </c>
      <c r="D1132" s="129"/>
      <c r="E1132" s="129"/>
      <c r="F1132" s="130"/>
      <c r="G1132" s="399"/>
      <c r="H1132" s="120"/>
      <c r="I1132" s="417"/>
      <c r="J1132" s="120"/>
      <c r="K1132" s="404"/>
      <c r="L1132" s="120">
        <f t="shared" ref="L1132:L1141" si="358">J1132+K1132</f>
        <v>0</v>
      </c>
      <c r="M1132" s="120">
        <f t="shared" ref="M1132:M1141" si="359">H1132*I1132</f>
        <v>0</v>
      </c>
      <c r="N1132" s="120">
        <f t="shared" ref="N1132:N1141" si="360">H1132*J1132</f>
        <v>0</v>
      </c>
      <c r="O1132" s="404">
        <f t="shared" ref="O1132:O1141" si="361">H1132*K1132</f>
        <v>0</v>
      </c>
      <c r="P1132" s="127">
        <f t="shared" ref="P1132:P1141" si="362">H1132*L1132</f>
        <v>0</v>
      </c>
    </row>
    <row r="1133" spans="1:16" ht="18">
      <c r="A1133" s="260"/>
      <c r="B1133" s="147"/>
      <c r="C1133" s="498" t="s">
        <v>1075</v>
      </c>
      <c r="D1133" s="496"/>
      <c r="E1133" s="496"/>
      <c r="F1133" s="497"/>
      <c r="G1133" s="489" t="s">
        <v>1071</v>
      </c>
      <c r="H1133" s="120">
        <v>2079</v>
      </c>
      <c r="I1133" s="417">
        <v>1</v>
      </c>
      <c r="J1133" s="120">
        <v>1</v>
      </c>
      <c r="K1133" s="404">
        <v>0</v>
      </c>
      <c r="L1133" s="120">
        <f t="shared" si="358"/>
        <v>1</v>
      </c>
      <c r="M1133" s="120">
        <f t="shared" si="359"/>
        <v>2079</v>
      </c>
      <c r="N1133" s="120">
        <f t="shared" si="360"/>
        <v>2079</v>
      </c>
      <c r="O1133" s="404">
        <f t="shared" si="361"/>
        <v>0</v>
      </c>
      <c r="P1133" s="127">
        <f t="shared" si="362"/>
        <v>2079</v>
      </c>
    </row>
    <row r="1134" spans="1:16" ht="18">
      <c r="A1134" s="260"/>
      <c r="B1134" s="147"/>
      <c r="C1134" s="498" t="s">
        <v>1076</v>
      </c>
      <c r="D1134" s="496"/>
      <c r="E1134" s="496"/>
      <c r="F1134" s="497"/>
      <c r="G1134" s="489" t="s">
        <v>1071</v>
      </c>
      <c r="H1134" s="120">
        <v>783.67</v>
      </c>
      <c r="I1134" s="417">
        <v>1</v>
      </c>
      <c r="J1134" s="120">
        <v>1</v>
      </c>
      <c r="K1134" s="404">
        <v>0</v>
      </c>
      <c r="L1134" s="120">
        <f t="shared" si="358"/>
        <v>1</v>
      </c>
      <c r="M1134" s="120">
        <f t="shared" si="359"/>
        <v>783.67</v>
      </c>
      <c r="N1134" s="120">
        <f t="shared" si="360"/>
        <v>783.67</v>
      </c>
      <c r="O1134" s="404">
        <f t="shared" si="361"/>
        <v>0</v>
      </c>
      <c r="P1134" s="127">
        <f t="shared" si="362"/>
        <v>783.67</v>
      </c>
    </row>
    <row r="1135" spans="1:16" ht="15.75">
      <c r="A1135" s="260"/>
      <c r="B1135" s="147"/>
      <c r="C1135" s="498" t="s">
        <v>1077</v>
      </c>
      <c r="D1135" s="499"/>
      <c r="E1135" s="499"/>
      <c r="F1135" s="500"/>
      <c r="G1135" s="489" t="s">
        <v>1071</v>
      </c>
      <c r="H1135" s="120">
        <v>3638.25</v>
      </c>
      <c r="I1135" s="417">
        <v>1</v>
      </c>
      <c r="J1135" s="120">
        <v>1</v>
      </c>
      <c r="K1135" s="404">
        <v>0</v>
      </c>
      <c r="L1135" s="120">
        <f t="shared" si="358"/>
        <v>1</v>
      </c>
      <c r="M1135" s="120">
        <f t="shared" si="359"/>
        <v>3638.25</v>
      </c>
      <c r="N1135" s="120">
        <f t="shared" si="360"/>
        <v>3638.25</v>
      </c>
      <c r="O1135" s="404">
        <f t="shared" si="361"/>
        <v>0</v>
      </c>
      <c r="P1135" s="127">
        <f t="shared" si="362"/>
        <v>3638.25</v>
      </c>
    </row>
    <row r="1136" spans="1:16" ht="15.75">
      <c r="A1136" s="260"/>
      <c r="B1136" s="147"/>
      <c r="C1136" s="498"/>
      <c r="D1136" s="499"/>
      <c r="E1136" s="499"/>
      <c r="F1136" s="500"/>
      <c r="G1136" s="489"/>
      <c r="H1136" s="120"/>
      <c r="I1136" s="417"/>
      <c r="J1136" s="120"/>
      <c r="K1136" s="404"/>
      <c r="L1136" s="120">
        <f t="shared" ref="L1136:L1138" si="363">J1136+K1136</f>
        <v>0</v>
      </c>
      <c r="M1136" s="120">
        <f t="shared" ref="M1136:M1138" si="364">H1136*I1136</f>
        <v>0</v>
      </c>
      <c r="N1136" s="120">
        <f t="shared" ref="N1136:N1138" si="365">H1136*J1136</f>
        <v>0</v>
      </c>
      <c r="O1136" s="404">
        <f t="shared" ref="O1136:O1138" si="366">H1136*K1136</f>
        <v>0</v>
      </c>
      <c r="P1136" s="127">
        <f t="shared" ref="P1136:P1138" si="367">H1136*L1136</f>
        <v>0</v>
      </c>
    </row>
    <row r="1137" spans="1:16" ht="15.75">
      <c r="A1137" s="260"/>
      <c r="B1137" s="147" t="s">
        <v>1078</v>
      </c>
      <c r="C1137" s="498" t="s">
        <v>1079</v>
      </c>
      <c r="D1137" s="499"/>
      <c r="E1137" s="499"/>
      <c r="F1137" s="500"/>
      <c r="G1137" s="489" t="s">
        <v>1071</v>
      </c>
      <c r="H1137" s="120">
        <v>8928</v>
      </c>
      <c r="I1137" s="417">
        <v>1</v>
      </c>
      <c r="J1137" s="120">
        <v>1</v>
      </c>
      <c r="K1137" s="404">
        <v>0</v>
      </c>
      <c r="L1137" s="120">
        <f t="shared" si="363"/>
        <v>1</v>
      </c>
      <c r="M1137" s="120">
        <f t="shared" si="364"/>
        <v>8928</v>
      </c>
      <c r="N1137" s="120">
        <f t="shared" si="365"/>
        <v>8928</v>
      </c>
      <c r="O1137" s="404">
        <f t="shared" si="366"/>
        <v>0</v>
      </c>
      <c r="P1137" s="127">
        <f t="shared" si="367"/>
        <v>8928</v>
      </c>
    </row>
    <row r="1138" spans="1:16" ht="15.75">
      <c r="A1138" s="260"/>
      <c r="B1138" s="147"/>
      <c r="C1138" s="498" t="s">
        <v>1080</v>
      </c>
      <c r="D1138" s="499"/>
      <c r="E1138" s="499"/>
      <c r="F1138" s="500"/>
      <c r="G1138" s="489"/>
      <c r="H1138" s="120"/>
      <c r="I1138" s="417"/>
      <c r="J1138" s="120"/>
      <c r="K1138" s="404"/>
      <c r="L1138" s="120">
        <f t="shared" si="363"/>
        <v>0</v>
      </c>
      <c r="M1138" s="120">
        <f t="shared" si="364"/>
        <v>0</v>
      </c>
      <c r="N1138" s="120">
        <f t="shared" si="365"/>
        <v>0</v>
      </c>
      <c r="O1138" s="404">
        <f t="shared" si="366"/>
        <v>0</v>
      </c>
      <c r="P1138" s="127">
        <f t="shared" si="367"/>
        <v>0</v>
      </c>
    </row>
    <row r="1139" spans="1:16" ht="15.75">
      <c r="A1139" s="260"/>
      <c r="B1139" s="147"/>
      <c r="C1139" s="498"/>
      <c r="D1139" s="499"/>
      <c r="E1139" s="499"/>
      <c r="F1139" s="500"/>
      <c r="G1139" s="489"/>
      <c r="H1139" s="120"/>
      <c r="I1139" s="417"/>
      <c r="J1139" s="120"/>
      <c r="K1139" s="404"/>
      <c r="L1139" s="120"/>
      <c r="M1139" s="120"/>
      <c r="N1139" s="120"/>
      <c r="O1139" s="404"/>
      <c r="P1139" s="127"/>
    </row>
    <row r="1140" spans="1:16" ht="15.75">
      <c r="A1140" s="260"/>
      <c r="B1140" s="147"/>
      <c r="C1140" s="132"/>
      <c r="D1140" s="129"/>
      <c r="E1140" s="129"/>
      <c r="F1140" s="130"/>
      <c r="G1140" s="399"/>
      <c r="H1140" s="120"/>
      <c r="I1140" s="417"/>
      <c r="J1140" s="120"/>
      <c r="K1140" s="404"/>
      <c r="L1140" s="120">
        <f t="shared" si="358"/>
        <v>0</v>
      </c>
      <c r="M1140" s="120">
        <f t="shared" si="359"/>
        <v>0</v>
      </c>
      <c r="N1140" s="120">
        <f t="shared" si="360"/>
        <v>0</v>
      </c>
      <c r="O1140" s="404">
        <f t="shared" si="361"/>
        <v>0</v>
      </c>
      <c r="P1140" s="127">
        <f t="shared" si="362"/>
        <v>0</v>
      </c>
    </row>
    <row r="1141" spans="1:16" ht="15.75">
      <c r="A1141" s="260"/>
      <c r="B1141" s="147"/>
      <c r="C1141" s="128" t="s">
        <v>404</v>
      </c>
      <c r="D1141" s="133"/>
      <c r="E1141" s="133"/>
      <c r="F1141" s="141"/>
      <c r="G1141" s="134"/>
      <c r="H1141" s="120"/>
      <c r="I1141" s="417"/>
      <c r="J1141" s="120"/>
      <c r="K1141" s="404"/>
      <c r="L1141" s="120">
        <f t="shared" si="358"/>
        <v>0</v>
      </c>
      <c r="M1141" s="120">
        <f t="shared" si="359"/>
        <v>0</v>
      </c>
      <c r="N1141" s="120">
        <f t="shared" si="360"/>
        <v>0</v>
      </c>
      <c r="O1141" s="404">
        <f t="shared" si="361"/>
        <v>0</v>
      </c>
      <c r="P1141" s="127">
        <f t="shared" si="362"/>
        <v>0</v>
      </c>
    </row>
    <row r="1142" spans="1:16" ht="18">
      <c r="A1142" s="260"/>
      <c r="B1142" s="147" t="s">
        <v>405</v>
      </c>
      <c r="C1142" s="132" t="s">
        <v>365</v>
      </c>
      <c r="D1142" s="129"/>
      <c r="E1142" s="129"/>
      <c r="F1142" s="130"/>
      <c r="G1142" s="134" t="s">
        <v>275</v>
      </c>
      <c r="H1142" s="120">
        <v>4.34</v>
      </c>
      <c r="I1142" s="417">
        <v>499.2</v>
      </c>
      <c r="J1142" s="120">
        <v>167.42</v>
      </c>
      <c r="K1142" s="404"/>
      <c r="L1142" s="120">
        <f>J1142+K1142</f>
        <v>167.42</v>
      </c>
      <c r="M1142" s="120">
        <f>H1142*I1142</f>
        <v>2166.5279999999998</v>
      </c>
      <c r="N1142" s="120">
        <f>H1142*J1142</f>
        <v>726.60279999999989</v>
      </c>
      <c r="O1142" s="404">
        <f>H1142*K1142</f>
        <v>0</v>
      </c>
      <c r="P1142" s="127">
        <f>H1142*L1142</f>
        <v>726.60279999999989</v>
      </c>
    </row>
    <row r="1143" spans="1:16" ht="15.75">
      <c r="A1143" s="260"/>
      <c r="B1143" s="147"/>
      <c r="C1143" s="132"/>
      <c r="D1143" s="129"/>
      <c r="E1143" s="129"/>
      <c r="F1143" s="130"/>
      <c r="G1143" s="134"/>
      <c r="H1143" s="120"/>
      <c r="I1143" s="417"/>
      <c r="J1143" s="120"/>
      <c r="K1143" s="404"/>
      <c r="L1143" s="120"/>
      <c r="M1143" s="120"/>
      <c r="N1143" s="120"/>
      <c r="O1143" s="404"/>
      <c r="P1143" s="127"/>
    </row>
    <row r="1144" spans="1:16" ht="18">
      <c r="A1144" s="260"/>
      <c r="B1144" s="147" t="s">
        <v>406</v>
      </c>
      <c r="C1144" s="132" t="s">
        <v>135</v>
      </c>
      <c r="D1144" s="129"/>
      <c r="E1144" s="129"/>
      <c r="F1144" s="130"/>
      <c r="G1144" s="134" t="s">
        <v>273</v>
      </c>
      <c r="H1144" s="120">
        <v>28.92</v>
      </c>
      <c r="I1144" s="417">
        <v>299.52</v>
      </c>
      <c r="J1144" s="120">
        <v>652.91999999999996</v>
      </c>
      <c r="K1144" s="404"/>
      <c r="L1144" s="120">
        <f>J1144+K1144</f>
        <v>652.91999999999996</v>
      </c>
      <c r="M1144" s="120">
        <f>H1144*I1144</f>
        <v>8662.1183999999994</v>
      </c>
      <c r="N1144" s="120">
        <f>H1144*J1144</f>
        <v>18882.446400000001</v>
      </c>
      <c r="O1144" s="404">
        <f>H1144*K1144</f>
        <v>0</v>
      </c>
      <c r="P1144" s="127">
        <f>H1144*L1144</f>
        <v>18882.446400000001</v>
      </c>
    </row>
    <row r="1145" spans="1:16" ht="15.75">
      <c r="A1145" s="260"/>
      <c r="B1145" s="147"/>
      <c r="C1145" s="132"/>
      <c r="D1145" s="129"/>
      <c r="E1145" s="129"/>
      <c r="F1145" s="130"/>
      <c r="G1145" s="134"/>
      <c r="H1145" s="120"/>
      <c r="I1145" s="417"/>
      <c r="J1145" s="120"/>
      <c r="K1145" s="404"/>
      <c r="L1145" s="120"/>
      <c r="M1145" s="120"/>
      <c r="N1145" s="120"/>
      <c r="O1145" s="404"/>
      <c r="P1145" s="127"/>
    </row>
    <row r="1146" spans="1:16" ht="18">
      <c r="A1146" s="260"/>
      <c r="B1146" s="147" t="s">
        <v>407</v>
      </c>
      <c r="C1146" s="132" t="s">
        <v>370</v>
      </c>
      <c r="D1146" s="129"/>
      <c r="E1146" s="129"/>
      <c r="F1146" s="130"/>
      <c r="G1146" s="134" t="s">
        <v>273</v>
      </c>
      <c r="H1146" s="120">
        <v>117.1</v>
      </c>
      <c r="I1146" s="417">
        <v>36.71</v>
      </c>
      <c r="J1146" s="120">
        <v>58.11</v>
      </c>
      <c r="K1146" s="404"/>
      <c r="L1146" s="120">
        <f>J1146+K1146</f>
        <v>58.11</v>
      </c>
      <c r="M1146" s="120">
        <f>H1146*I1146</f>
        <v>4298.741</v>
      </c>
      <c r="N1146" s="120">
        <f>H1146*J1146</f>
        <v>6804.6809999999996</v>
      </c>
      <c r="O1146" s="404">
        <f>H1146*K1146</f>
        <v>0</v>
      </c>
      <c r="P1146" s="127">
        <f>H1146*L1146</f>
        <v>6804.6809999999996</v>
      </c>
    </row>
    <row r="1147" spans="1:16" ht="15.75">
      <c r="A1147" s="260"/>
      <c r="B1147" s="147"/>
      <c r="C1147" s="132"/>
      <c r="D1147" s="129"/>
      <c r="E1147" s="129"/>
      <c r="F1147" s="130"/>
      <c r="G1147" s="134"/>
      <c r="H1147" s="120"/>
      <c r="I1147" s="417"/>
      <c r="J1147" s="120"/>
      <c r="K1147" s="404"/>
      <c r="L1147" s="120"/>
      <c r="M1147" s="120"/>
      <c r="N1147" s="120"/>
      <c r="O1147" s="404"/>
      <c r="P1147" s="127"/>
    </row>
    <row r="1148" spans="1:16" ht="18">
      <c r="A1148" s="260"/>
      <c r="B1148" s="147" t="s">
        <v>408</v>
      </c>
      <c r="C1148" s="132" t="s">
        <v>371</v>
      </c>
      <c r="D1148" s="129"/>
      <c r="E1148" s="129"/>
      <c r="F1148" s="130"/>
      <c r="G1148" s="134" t="s">
        <v>273</v>
      </c>
      <c r="H1148" s="120">
        <v>32.71</v>
      </c>
      <c r="I1148" s="417">
        <v>399.36</v>
      </c>
      <c r="J1148" s="120">
        <v>686.4</v>
      </c>
      <c r="K1148" s="404"/>
      <c r="L1148" s="120">
        <f>J1148+K1148</f>
        <v>686.4</v>
      </c>
      <c r="M1148" s="120">
        <f>H1148*I1148</f>
        <v>13063.0656</v>
      </c>
      <c r="N1148" s="120">
        <f>H1148*J1148</f>
        <v>22452.144</v>
      </c>
      <c r="O1148" s="404">
        <f>H1148*K1148</f>
        <v>0</v>
      </c>
      <c r="P1148" s="127">
        <f>H1148*L1148</f>
        <v>22452.144</v>
      </c>
    </row>
    <row r="1149" spans="1:16" ht="15.75">
      <c r="A1149" s="260"/>
      <c r="B1149" s="147"/>
      <c r="C1149" s="132"/>
      <c r="D1149" s="129"/>
      <c r="E1149" s="129"/>
      <c r="F1149" s="130"/>
      <c r="G1149" s="134"/>
      <c r="H1149" s="120"/>
      <c r="I1149" s="417"/>
      <c r="J1149" s="120"/>
      <c r="K1149" s="404"/>
      <c r="L1149" s="120"/>
      <c r="M1149" s="120"/>
      <c r="N1149" s="120"/>
      <c r="O1149" s="404"/>
      <c r="P1149" s="127"/>
    </row>
    <row r="1150" spans="1:16" ht="15.75">
      <c r="A1150" s="260"/>
      <c r="B1150" s="147"/>
      <c r="C1150" s="128" t="s">
        <v>409</v>
      </c>
      <c r="D1150" s="133"/>
      <c r="E1150" s="133"/>
      <c r="F1150" s="130"/>
      <c r="G1150" s="134"/>
      <c r="H1150" s="120"/>
      <c r="I1150" s="417"/>
      <c r="J1150" s="120"/>
      <c r="K1150" s="404"/>
      <c r="L1150" s="120"/>
      <c r="M1150" s="120"/>
      <c r="N1150" s="120"/>
      <c r="O1150" s="404"/>
      <c r="P1150" s="127"/>
    </row>
    <row r="1151" spans="1:16" ht="15.75">
      <c r="A1151" s="260"/>
      <c r="B1151" s="147"/>
      <c r="C1151" s="132"/>
      <c r="D1151" s="129"/>
      <c r="E1151" s="129"/>
      <c r="F1151" s="130"/>
      <c r="G1151" s="134"/>
      <c r="H1151" s="120"/>
      <c r="I1151" s="417"/>
      <c r="J1151" s="120"/>
      <c r="K1151" s="404"/>
      <c r="L1151" s="120"/>
      <c r="M1151" s="120"/>
      <c r="N1151" s="120"/>
      <c r="O1151" s="404"/>
      <c r="P1151" s="127"/>
    </row>
    <row r="1152" spans="1:16" ht="15.75">
      <c r="A1152" s="260"/>
      <c r="B1152" s="147" t="s">
        <v>410</v>
      </c>
      <c r="C1152" s="132" t="s">
        <v>411</v>
      </c>
      <c r="D1152" s="129"/>
      <c r="E1152" s="129"/>
      <c r="F1152" s="130"/>
      <c r="G1152" s="134"/>
      <c r="H1152" s="120"/>
      <c r="I1152" s="417"/>
      <c r="J1152" s="120"/>
      <c r="K1152" s="404"/>
      <c r="L1152" s="120"/>
      <c r="M1152" s="120"/>
      <c r="N1152" s="120"/>
      <c r="O1152" s="404"/>
      <c r="P1152" s="127"/>
    </row>
    <row r="1153" spans="1:16" ht="18">
      <c r="A1153" s="260"/>
      <c r="B1153" s="147"/>
      <c r="C1153" s="132" t="s">
        <v>412</v>
      </c>
      <c r="D1153" s="129"/>
      <c r="E1153" s="129"/>
      <c r="F1153" s="130"/>
      <c r="G1153" s="134" t="s">
        <v>275</v>
      </c>
      <c r="H1153" s="120">
        <v>36.340000000000003</v>
      </c>
      <c r="I1153" s="417">
        <v>145.33000000000001</v>
      </c>
      <c r="J1153" s="120">
        <v>145.27000000000001</v>
      </c>
      <c r="K1153" s="404"/>
      <c r="L1153" s="120">
        <f>J1153+K1153</f>
        <v>145.27000000000001</v>
      </c>
      <c r="M1153" s="120">
        <f>H1153*I1153</f>
        <v>5281.2922000000008</v>
      </c>
      <c r="N1153" s="120">
        <f>H1153*J1153</f>
        <v>5279.1118000000006</v>
      </c>
      <c r="O1153" s="404">
        <f>H1153*K1153</f>
        <v>0</v>
      </c>
      <c r="P1153" s="127">
        <f>H1153*L1153</f>
        <v>5279.1118000000006</v>
      </c>
    </row>
    <row r="1154" spans="1:16" ht="15.75">
      <c r="A1154" s="260"/>
      <c r="B1154" s="147"/>
      <c r="C1154" s="132"/>
      <c r="D1154" s="129"/>
      <c r="E1154" s="129"/>
      <c r="F1154" s="130"/>
      <c r="G1154" s="134"/>
      <c r="H1154" s="120"/>
      <c r="I1154" s="417"/>
      <c r="J1154" s="120"/>
      <c r="K1154" s="404"/>
      <c r="L1154" s="120"/>
      <c r="M1154" s="120"/>
      <c r="N1154" s="120"/>
      <c r="O1154" s="404"/>
      <c r="P1154" s="127"/>
    </row>
    <row r="1155" spans="1:16" ht="15.75">
      <c r="A1155" s="260"/>
      <c r="B1155" s="147" t="s">
        <v>413</v>
      </c>
      <c r="C1155" s="132" t="s">
        <v>414</v>
      </c>
      <c r="D1155" s="129"/>
      <c r="E1155" s="129"/>
      <c r="F1155" s="130"/>
      <c r="G1155" s="134"/>
      <c r="H1155" s="120"/>
      <c r="I1155" s="417"/>
      <c r="J1155" s="120"/>
      <c r="K1155" s="404"/>
      <c r="L1155" s="120"/>
      <c r="M1155" s="120"/>
      <c r="N1155" s="120"/>
      <c r="O1155" s="404"/>
      <c r="P1155" s="127"/>
    </row>
    <row r="1156" spans="1:16" ht="18">
      <c r="A1156" s="260"/>
      <c r="B1156" s="147"/>
      <c r="C1156" s="132" t="s">
        <v>412</v>
      </c>
      <c r="D1156" s="129"/>
      <c r="E1156" s="129"/>
      <c r="F1156" s="130"/>
      <c r="G1156" s="134" t="s">
        <v>273</v>
      </c>
      <c r="H1156" s="120">
        <v>1281.48</v>
      </c>
      <c r="I1156" s="417">
        <v>30.43</v>
      </c>
      <c r="J1156" s="120">
        <v>179.39</v>
      </c>
      <c r="K1156" s="404"/>
      <c r="L1156" s="120">
        <f>J1156+K1156</f>
        <v>179.39</v>
      </c>
      <c r="M1156" s="120">
        <f>H1156*I1156</f>
        <v>38995.436399999999</v>
      </c>
      <c r="N1156" s="120">
        <f>H1156*J1156</f>
        <v>229884.6972</v>
      </c>
      <c r="O1156" s="404">
        <f>H1156*K1156</f>
        <v>0</v>
      </c>
      <c r="P1156" s="127">
        <f>H1156*L1156</f>
        <v>229884.6972</v>
      </c>
    </row>
    <row r="1157" spans="1:16" ht="18">
      <c r="A1157" s="260"/>
      <c r="B1157" s="147"/>
      <c r="C1157" s="132" t="s">
        <v>510</v>
      </c>
      <c r="D1157" s="129"/>
      <c r="E1157" s="129"/>
      <c r="F1157" s="130"/>
      <c r="G1157" s="134" t="s">
        <v>273</v>
      </c>
      <c r="H1157" s="120">
        <v>1281.48</v>
      </c>
      <c r="I1157" s="417">
        <v>34.64</v>
      </c>
      <c r="J1157" s="120">
        <v>51.12</v>
      </c>
      <c r="K1157" s="404">
        <v>0</v>
      </c>
      <c r="L1157" s="120">
        <f>J1157+K1157</f>
        <v>51.12</v>
      </c>
      <c r="M1157" s="120">
        <f>H1157*I1157</f>
        <v>44390.467199999999</v>
      </c>
      <c r="N1157" s="120">
        <f>H1157*J1157</f>
        <v>65509.257599999997</v>
      </c>
      <c r="O1157" s="404">
        <f>H1157*K1157</f>
        <v>0</v>
      </c>
      <c r="P1157" s="127">
        <f>H1157*L1157</f>
        <v>65509.257599999997</v>
      </c>
    </row>
    <row r="1158" spans="1:16" ht="18">
      <c r="A1158" s="260"/>
      <c r="B1158" s="147"/>
      <c r="C1158" s="132" t="s">
        <v>499</v>
      </c>
      <c r="D1158" s="129"/>
      <c r="E1158" s="129"/>
      <c r="F1158" s="130"/>
      <c r="G1158" s="134" t="s">
        <v>273</v>
      </c>
      <c r="H1158" s="120">
        <v>1281.48</v>
      </c>
      <c r="I1158" s="417">
        <v>55.16</v>
      </c>
      <c r="J1158" s="120">
        <v>46.383000000000003</v>
      </c>
      <c r="K1158" s="404"/>
      <c r="L1158" s="120">
        <f>J1158+K1158</f>
        <v>46.383000000000003</v>
      </c>
      <c r="M1158" s="120">
        <f>H1158*I1158</f>
        <v>70686.436799999996</v>
      </c>
      <c r="N1158" s="120">
        <f>H1158*J1158</f>
        <v>59438.886840000006</v>
      </c>
      <c r="O1158" s="404">
        <f>H1158*K1158</f>
        <v>0</v>
      </c>
      <c r="P1158" s="127">
        <f>H1158*L1158</f>
        <v>59438.886840000006</v>
      </c>
    </row>
    <row r="1159" spans="1:16" ht="15.75">
      <c r="A1159" s="260"/>
      <c r="B1159" s="147"/>
      <c r="C1159" s="132"/>
      <c r="D1159" s="129"/>
      <c r="E1159" s="129"/>
      <c r="F1159" s="130"/>
      <c r="G1159" s="134"/>
      <c r="H1159" s="120"/>
      <c r="I1159" s="417"/>
      <c r="J1159" s="120"/>
      <c r="K1159" s="404"/>
      <c r="L1159" s="120"/>
      <c r="M1159" s="120"/>
      <c r="N1159" s="120"/>
      <c r="O1159" s="404"/>
      <c r="P1159" s="127"/>
    </row>
    <row r="1160" spans="1:16" ht="15.75">
      <c r="A1160" s="260"/>
      <c r="B1160" s="147" t="s">
        <v>415</v>
      </c>
      <c r="C1160" s="132" t="s">
        <v>388</v>
      </c>
      <c r="D1160" s="129"/>
      <c r="E1160" s="129"/>
      <c r="F1160" s="130"/>
      <c r="G1160" s="134"/>
      <c r="H1160" s="120"/>
      <c r="I1160" s="417"/>
      <c r="J1160" s="120"/>
      <c r="K1160" s="404"/>
      <c r="L1160" s="120"/>
      <c r="M1160" s="120"/>
      <c r="N1160" s="120"/>
      <c r="O1160" s="404"/>
      <c r="P1160" s="127"/>
    </row>
    <row r="1161" spans="1:16" ht="18">
      <c r="A1161" s="260"/>
      <c r="B1161" s="147"/>
      <c r="C1161" s="132" t="s">
        <v>412</v>
      </c>
      <c r="D1161" s="129"/>
      <c r="E1161" s="129"/>
      <c r="F1161" s="130"/>
      <c r="G1161" s="134" t="s">
        <v>275</v>
      </c>
      <c r="H1161" s="120">
        <v>59.08</v>
      </c>
      <c r="I1161" s="417">
        <v>17.100000000000001</v>
      </c>
      <c r="J1161" s="120"/>
      <c r="K1161" s="404"/>
      <c r="L1161" s="120">
        <f>J1161+K1161</f>
        <v>0</v>
      </c>
      <c r="M1161" s="120">
        <f>H1161*I1161</f>
        <v>1010.268</v>
      </c>
      <c r="N1161" s="120">
        <f>H1161*J1161</f>
        <v>0</v>
      </c>
      <c r="O1161" s="404">
        <f>H1161*K1161</f>
        <v>0</v>
      </c>
      <c r="P1161" s="127">
        <f>H1161*L1161</f>
        <v>0</v>
      </c>
    </row>
    <row r="1162" spans="1:16" ht="18">
      <c r="A1162" s="260"/>
      <c r="B1162" s="147"/>
      <c r="C1162" s="132" t="s">
        <v>498</v>
      </c>
      <c r="D1162" s="129"/>
      <c r="E1162" s="129"/>
      <c r="F1162" s="130"/>
      <c r="G1162" s="134" t="s">
        <v>275</v>
      </c>
      <c r="H1162" s="120">
        <v>59.08</v>
      </c>
      <c r="I1162" s="417">
        <v>137.59</v>
      </c>
      <c r="J1162" s="120">
        <v>2.82</v>
      </c>
      <c r="K1162" s="404">
        <v>0</v>
      </c>
      <c r="L1162" s="120">
        <f>J1162+K1162</f>
        <v>2.82</v>
      </c>
      <c r="M1162" s="120">
        <f>H1162*I1162</f>
        <v>8128.8172000000004</v>
      </c>
      <c r="N1162" s="120">
        <f>H1162*J1162</f>
        <v>166.60559999999998</v>
      </c>
      <c r="O1162" s="404">
        <f>H1162*K1162</f>
        <v>0</v>
      </c>
      <c r="P1162" s="127">
        <f>H1162*L1162</f>
        <v>166.60559999999998</v>
      </c>
    </row>
    <row r="1163" spans="1:16" ht="18">
      <c r="A1163" s="260"/>
      <c r="B1163" s="147"/>
      <c r="C1163" s="132" t="s">
        <v>499</v>
      </c>
      <c r="D1163" s="129"/>
      <c r="E1163" s="129"/>
      <c r="F1163" s="130"/>
      <c r="G1163" s="134" t="s">
        <v>275</v>
      </c>
      <c r="H1163" s="120">
        <v>59.08</v>
      </c>
      <c r="I1163" s="417">
        <v>368.25</v>
      </c>
      <c r="J1163" s="120"/>
      <c r="K1163" s="404"/>
      <c r="L1163" s="120">
        <f>J1163+K1163</f>
        <v>0</v>
      </c>
      <c r="M1163" s="120">
        <f>H1163*I1163</f>
        <v>21756.21</v>
      </c>
      <c r="N1163" s="120">
        <f>H1163*J1163</f>
        <v>0</v>
      </c>
      <c r="O1163" s="404">
        <f>H1163*K1163</f>
        <v>0</v>
      </c>
      <c r="P1163" s="127">
        <f>H1163*L1163</f>
        <v>0</v>
      </c>
    </row>
    <row r="1164" spans="1:16" ht="15.75">
      <c r="A1164" s="260"/>
      <c r="B1164" s="147"/>
      <c r="C1164" s="132"/>
      <c r="D1164" s="129"/>
      <c r="E1164" s="129"/>
      <c r="F1164" s="130"/>
      <c r="G1164" s="134"/>
      <c r="H1164" s="120"/>
      <c r="I1164" s="417"/>
      <c r="J1164" s="120"/>
      <c r="K1164" s="404"/>
      <c r="L1164" s="120"/>
      <c r="M1164" s="120"/>
      <c r="N1164" s="120"/>
      <c r="O1164" s="404"/>
      <c r="P1164" s="127"/>
    </row>
    <row r="1165" spans="1:16" ht="15.75">
      <c r="A1165" s="260"/>
      <c r="B1165" s="147" t="s">
        <v>389</v>
      </c>
      <c r="C1165" s="132" t="s">
        <v>390</v>
      </c>
      <c r="D1165" s="129"/>
      <c r="E1165" s="129"/>
      <c r="F1165" s="130"/>
      <c r="G1165" s="134"/>
      <c r="H1165" s="120"/>
      <c r="I1165" s="417"/>
      <c r="J1165" s="120"/>
      <c r="K1165" s="404"/>
      <c r="L1165" s="120"/>
      <c r="M1165" s="120"/>
      <c r="N1165" s="120"/>
      <c r="O1165" s="404"/>
      <c r="P1165" s="127"/>
    </row>
    <row r="1166" spans="1:16" ht="15.75">
      <c r="A1166" s="260"/>
      <c r="B1166" s="147"/>
      <c r="C1166" s="132" t="s">
        <v>391</v>
      </c>
      <c r="D1166" s="129"/>
      <c r="E1166" s="129"/>
      <c r="F1166" s="130"/>
      <c r="G1166" s="134" t="s">
        <v>103</v>
      </c>
      <c r="H1166" s="120">
        <v>2.0099999999999998</v>
      </c>
      <c r="I1166" s="417">
        <v>1335.29</v>
      </c>
      <c r="J1166" s="120">
        <v>865.29</v>
      </c>
      <c r="K1166" s="404"/>
      <c r="L1166" s="120">
        <f>J1166+K1166</f>
        <v>865.29</v>
      </c>
      <c r="M1166" s="120">
        <f>H1166*I1166</f>
        <v>2683.9328999999998</v>
      </c>
      <c r="N1166" s="120">
        <f>H1166*J1166</f>
        <v>1739.2328999999997</v>
      </c>
      <c r="O1166" s="404">
        <f>H1166*K1166</f>
        <v>0</v>
      </c>
      <c r="P1166" s="127">
        <f>H1166*L1166</f>
        <v>1739.2328999999997</v>
      </c>
    </row>
    <row r="1167" spans="1:16" ht="15.75">
      <c r="A1167" s="260"/>
      <c r="B1167" s="147"/>
      <c r="C1167" s="132" t="s">
        <v>392</v>
      </c>
      <c r="D1167" s="129"/>
      <c r="E1167" s="129"/>
      <c r="F1167" s="130"/>
      <c r="G1167" s="134" t="s">
        <v>103</v>
      </c>
      <c r="H1167" s="120">
        <v>2.0099999999999998</v>
      </c>
      <c r="I1167" s="417">
        <v>2597.4899999999998</v>
      </c>
      <c r="J1167" s="120">
        <v>1011.72</v>
      </c>
      <c r="K1167" s="404"/>
      <c r="L1167" s="120">
        <f>J1167+K1167</f>
        <v>1011.72</v>
      </c>
      <c r="M1167" s="120">
        <f>H1167*I1167</f>
        <v>5220.9548999999988</v>
      </c>
      <c r="N1167" s="120">
        <f>H1167*J1167</f>
        <v>2033.5571999999997</v>
      </c>
      <c r="O1167" s="404">
        <f>H1167*K1167</f>
        <v>0</v>
      </c>
      <c r="P1167" s="127">
        <f>H1167*L1167</f>
        <v>2033.5571999999997</v>
      </c>
    </row>
    <row r="1168" spans="1:16" ht="15.75">
      <c r="A1168" s="260"/>
      <c r="B1168" s="147"/>
      <c r="C1168" s="132" t="s">
        <v>393</v>
      </c>
      <c r="D1168" s="129"/>
      <c r="E1168" s="129"/>
      <c r="F1168" s="130"/>
      <c r="G1168" s="134" t="s">
        <v>103</v>
      </c>
      <c r="H1168" s="120">
        <v>1.59</v>
      </c>
      <c r="I1168" s="417">
        <v>10775.18</v>
      </c>
      <c r="J1168" s="120">
        <v>5664.72</v>
      </c>
      <c r="K1168" s="404"/>
      <c r="L1168" s="120">
        <f>J1168+K1168</f>
        <v>5664.72</v>
      </c>
      <c r="M1168" s="120">
        <f>H1168*I1168</f>
        <v>17132.536200000002</v>
      </c>
      <c r="N1168" s="120">
        <f>H1168*J1168</f>
        <v>9006.9048000000003</v>
      </c>
      <c r="O1168" s="404">
        <f>H1168*K1168</f>
        <v>0</v>
      </c>
      <c r="P1168" s="127">
        <f>H1168*L1168</f>
        <v>9006.9048000000003</v>
      </c>
    </row>
    <row r="1169" spans="1:16" ht="15.75">
      <c r="A1169" s="260"/>
      <c r="B1169" s="147"/>
      <c r="C1169" s="132" t="s">
        <v>394</v>
      </c>
      <c r="D1169" s="129"/>
      <c r="E1169" s="129"/>
      <c r="F1169" s="130"/>
      <c r="G1169" s="134" t="s">
        <v>103</v>
      </c>
      <c r="H1169" s="120">
        <v>1.59</v>
      </c>
      <c r="I1169" s="417">
        <v>875.2</v>
      </c>
      <c r="J1169" s="120">
        <v>7070.28</v>
      </c>
      <c r="K1169" s="404"/>
      <c r="L1169" s="120">
        <f>J1169+K1169</f>
        <v>7070.28</v>
      </c>
      <c r="M1169" s="120">
        <f>H1169*I1169</f>
        <v>1391.5680000000002</v>
      </c>
      <c r="N1169" s="120">
        <f>H1169*J1169</f>
        <v>11241.745199999999</v>
      </c>
      <c r="O1169" s="404">
        <f>H1169*K1169</f>
        <v>0</v>
      </c>
      <c r="P1169" s="127">
        <f>H1169*L1169</f>
        <v>11241.745199999999</v>
      </c>
    </row>
    <row r="1170" spans="1:16" ht="15.75">
      <c r="A1170" s="260"/>
      <c r="B1170" s="147"/>
      <c r="C1170" s="132" t="s">
        <v>395</v>
      </c>
      <c r="D1170" s="129"/>
      <c r="E1170" s="129"/>
      <c r="F1170" s="130"/>
      <c r="G1170" s="134" t="s">
        <v>103</v>
      </c>
      <c r="H1170" s="120">
        <v>1.59</v>
      </c>
      <c r="I1170" s="417">
        <v>1782.82</v>
      </c>
      <c r="J1170" s="120">
        <v>3387.28</v>
      </c>
      <c r="K1170" s="404"/>
      <c r="L1170" s="120">
        <f>J1170+K1170</f>
        <v>3387.28</v>
      </c>
      <c r="M1170" s="120">
        <f>H1170*I1170</f>
        <v>2834.6838000000002</v>
      </c>
      <c r="N1170" s="120">
        <f>H1170*J1170</f>
        <v>5385.775200000001</v>
      </c>
      <c r="O1170" s="404">
        <f>H1170*K1170</f>
        <v>0</v>
      </c>
      <c r="P1170" s="127">
        <f>H1170*L1170</f>
        <v>5385.775200000001</v>
      </c>
    </row>
    <row r="1171" spans="1:16" ht="15.75">
      <c r="A1171" s="260"/>
      <c r="B1171" s="147"/>
      <c r="C1171" s="132"/>
      <c r="D1171" s="129"/>
      <c r="E1171" s="129"/>
      <c r="F1171" s="130"/>
      <c r="G1171" s="134"/>
      <c r="H1171" s="120"/>
      <c r="I1171" s="417"/>
      <c r="J1171" s="120"/>
      <c r="K1171" s="404"/>
      <c r="L1171" s="120"/>
      <c r="M1171" s="120"/>
      <c r="N1171" s="120"/>
      <c r="O1171" s="404"/>
      <c r="P1171" s="127"/>
    </row>
    <row r="1172" spans="1:16" ht="15.75">
      <c r="A1172" s="260"/>
      <c r="B1172" s="147"/>
      <c r="C1172" s="128" t="s">
        <v>528</v>
      </c>
      <c r="D1172" s="133"/>
      <c r="E1172" s="133"/>
      <c r="F1172" s="130"/>
      <c r="G1172" s="134"/>
      <c r="H1172" s="120"/>
      <c r="I1172" s="417"/>
      <c r="J1172" s="120"/>
      <c r="K1172" s="404"/>
      <c r="L1172" s="120"/>
      <c r="M1172" s="120"/>
      <c r="N1172" s="120"/>
      <c r="O1172" s="404"/>
      <c r="P1172" s="127"/>
    </row>
    <row r="1173" spans="1:16" ht="15.75">
      <c r="A1173" s="260"/>
      <c r="B1173" s="147" t="s">
        <v>529</v>
      </c>
      <c r="C1173" s="132" t="s">
        <v>401</v>
      </c>
      <c r="D1173" s="129"/>
      <c r="E1173" s="129"/>
      <c r="F1173" s="130"/>
      <c r="G1173" s="134"/>
      <c r="H1173" s="120"/>
      <c r="I1173" s="417"/>
      <c r="J1173" s="120"/>
      <c r="K1173" s="404"/>
      <c r="L1173" s="120"/>
      <c r="M1173" s="120"/>
      <c r="N1173" s="120"/>
      <c r="O1173" s="404"/>
      <c r="P1173" s="127"/>
    </row>
    <row r="1174" spans="1:16" ht="18">
      <c r="A1174" s="260"/>
      <c r="B1174" s="147"/>
      <c r="C1174" s="132" t="s">
        <v>402</v>
      </c>
      <c r="D1174" s="129"/>
      <c r="E1174" s="129"/>
      <c r="F1174" s="130"/>
      <c r="G1174" s="134" t="s">
        <v>275</v>
      </c>
      <c r="H1174" s="120">
        <v>66.45</v>
      </c>
      <c r="I1174" s="417">
        <v>178.2</v>
      </c>
      <c r="J1174" s="120">
        <v>0</v>
      </c>
      <c r="K1174" s="404"/>
      <c r="L1174" s="120">
        <f>J1174+K1174</f>
        <v>0</v>
      </c>
      <c r="M1174" s="120">
        <f>H1174*I1174</f>
        <v>11841.39</v>
      </c>
      <c r="N1174" s="120">
        <f>H1174*J1174</f>
        <v>0</v>
      </c>
      <c r="O1174" s="404">
        <f>H1174*K1174</f>
        <v>0</v>
      </c>
      <c r="P1174" s="127">
        <f>H1174*L1174</f>
        <v>0</v>
      </c>
    </row>
    <row r="1175" spans="1:16" ht="18">
      <c r="A1175" s="260"/>
      <c r="B1175" s="147"/>
      <c r="C1175" s="132" t="s">
        <v>500</v>
      </c>
      <c r="D1175" s="129"/>
      <c r="E1175" s="129"/>
      <c r="F1175" s="130"/>
      <c r="G1175" s="134" t="s">
        <v>501</v>
      </c>
      <c r="H1175" s="120">
        <v>66.45</v>
      </c>
      <c r="I1175" s="417">
        <v>0</v>
      </c>
      <c r="J1175" s="120"/>
      <c r="K1175" s="404"/>
      <c r="L1175" s="120">
        <f>J1175+K1175</f>
        <v>0</v>
      </c>
      <c r="M1175" s="120"/>
      <c r="N1175" s="120">
        <f>H1175*J1175</f>
        <v>0</v>
      </c>
      <c r="O1175" s="404">
        <f>H1175*K1175</f>
        <v>0</v>
      </c>
      <c r="P1175" s="127">
        <f>H1175*L1175</f>
        <v>0</v>
      </c>
    </row>
    <row r="1176" spans="1:16" ht="15.75">
      <c r="A1176" s="260"/>
      <c r="B1176" s="147" t="s">
        <v>502</v>
      </c>
      <c r="C1176" s="1443" t="s">
        <v>753</v>
      </c>
      <c r="D1176" s="1444"/>
      <c r="E1176" s="1444"/>
      <c r="F1176" s="1445"/>
      <c r="G1176" s="399"/>
      <c r="H1176" s="158"/>
      <c r="I1176" s="419"/>
      <c r="J1176" s="158"/>
      <c r="K1176" s="406"/>
      <c r="L1176" s="158"/>
      <c r="M1176" s="120"/>
      <c r="N1176" s="120"/>
      <c r="O1176" s="404"/>
      <c r="P1176" s="127"/>
    </row>
    <row r="1177" spans="1:16" ht="15.75">
      <c r="A1177" s="260"/>
      <c r="B1177" s="147"/>
      <c r="C1177" s="1446"/>
      <c r="D1177" s="1447"/>
      <c r="E1177" s="1447"/>
      <c r="F1177" s="1448"/>
      <c r="G1177" s="399"/>
      <c r="H1177" s="158"/>
      <c r="I1177" s="419"/>
      <c r="J1177" s="158"/>
      <c r="K1177" s="406"/>
      <c r="L1177" s="158"/>
      <c r="M1177" s="120"/>
      <c r="N1177" s="120"/>
      <c r="O1177" s="404"/>
      <c r="P1177" s="127"/>
    </row>
    <row r="1178" spans="1:16" ht="18">
      <c r="A1178" s="260"/>
      <c r="B1178" s="147"/>
      <c r="C1178" s="1440" t="s">
        <v>754</v>
      </c>
      <c r="D1178" s="1441"/>
      <c r="E1178" s="1441"/>
      <c r="F1178" s="1442"/>
      <c r="G1178" s="399" t="s">
        <v>275</v>
      </c>
      <c r="H1178" s="158">
        <v>60.05</v>
      </c>
      <c r="I1178" s="419">
        <v>514.9</v>
      </c>
      <c r="J1178" s="158">
        <v>121.45</v>
      </c>
      <c r="K1178" s="406">
        <v>0</v>
      </c>
      <c r="L1178" s="158">
        <f>J1178+K1178</f>
        <v>121.45</v>
      </c>
      <c r="M1178" s="120">
        <f>H1178*I1178</f>
        <v>30919.744999999999</v>
      </c>
      <c r="N1178" s="120">
        <f>H1178*J1178</f>
        <v>7293.0725000000002</v>
      </c>
      <c r="O1178" s="404">
        <f>H1178*K1178</f>
        <v>0</v>
      </c>
      <c r="P1178" s="127">
        <f>H1178*L1178</f>
        <v>7293.0725000000002</v>
      </c>
    </row>
    <row r="1179" spans="1:16" ht="15.75">
      <c r="A1179" s="260"/>
      <c r="B1179" s="147"/>
      <c r="C1179" s="481"/>
      <c r="D1179" s="482"/>
      <c r="E1179" s="482"/>
      <c r="F1179" s="483"/>
      <c r="G1179" s="399"/>
      <c r="H1179" s="158"/>
      <c r="I1179" s="419"/>
      <c r="J1179" s="158"/>
      <c r="K1179" s="406"/>
      <c r="L1179" s="158"/>
      <c r="M1179" s="120"/>
      <c r="N1179" s="158"/>
      <c r="O1179" s="404"/>
      <c r="P1179" s="127"/>
    </row>
    <row r="1180" spans="1:16" ht="15.75">
      <c r="A1180" s="260"/>
      <c r="B1180" s="147" t="s">
        <v>755</v>
      </c>
      <c r="C1180" s="1443" t="s">
        <v>756</v>
      </c>
      <c r="D1180" s="1444"/>
      <c r="E1180" s="1444"/>
      <c r="F1180" s="1445"/>
      <c r="G1180" s="399"/>
      <c r="H1180" s="158"/>
      <c r="I1180" s="419"/>
      <c r="J1180" s="158"/>
      <c r="K1180" s="406"/>
      <c r="L1180" s="158"/>
      <c r="M1180" s="120"/>
      <c r="N1180" s="158"/>
      <c r="O1180" s="404"/>
      <c r="P1180" s="127"/>
    </row>
    <row r="1181" spans="1:16" ht="15.75">
      <c r="A1181" s="260"/>
      <c r="B1181" s="147"/>
      <c r="C1181" s="1449"/>
      <c r="D1181" s="1450"/>
      <c r="E1181" s="1450"/>
      <c r="F1181" s="1451"/>
      <c r="G1181" s="399"/>
      <c r="H1181" s="158"/>
      <c r="I1181" s="419"/>
      <c r="J1181" s="158"/>
      <c r="K1181" s="406"/>
      <c r="L1181" s="158"/>
      <c r="M1181" s="120"/>
      <c r="N1181" s="158"/>
      <c r="O1181" s="404"/>
      <c r="P1181" s="127"/>
    </row>
    <row r="1182" spans="1:16" ht="18">
      <c r="A1182" s="260"/>
      <c r="B1182" s="147"/>
      <c r="C1182" s="1446"/>
      <c r="D1182" s="1447"/>
      <c r="E1182" s="1447"/>
      <c r="F1182" s="1448"/>
      <c r="G1182" s="399" t="s">
        <v>275</v>
      </c>
      <c r="H1182" s="158">
        <v>290</v>
      </c>
      <c r="I1182" s="419">
        <v>138.6</v>
      </c>
      <c r="J1182" s="158">
        <v>167.42</v>
      </c>
      <c r="K1182" s="406">
        <v>0</v>
      </c>
      <c r="L1182" s="158">
        <f>J1182+K1182</f>
        <v>167.42</v>
      </c>
      <c r="M1182" s="120">
        <f>H1182*I1182</f>
        <v>40194</v>
      </c>
      <c r="N1182" s="158"/>
      <c r="O1182" s="404">
        <f>H1182*K1182</f>
        <v>0</v>
      </c>
      <c r="P1182" s="127">
        <f>H1182*L1182</f>
        <v>48551.799999999996</v>
      </c>
    </row>
    <row r="1183" spans="1:16" ht="15.75">
      <c r="A1183" s="260"/>
      <c r="B1183" s="147"/>
      <c r="C1183" s="481"/>
      <c r="D1183" s="482"/>
      <c r="E1183" s="482"/>
      <c r="F1183" s="483"/>
      <c r="G1183" s="399"/>
      <c r="H1183" s="158"/>
      <c r="I1183" s="419"/>
      <c r="J1183" s="158"/>
      <c r="K1183" s="406"/>
      <c r="L1183" s="158"/>
      <c r="M1183" s="120"/>
      <c r="N1183" s="158"/>
      <c r="O1183" s="406"/>
      <c r="P1183" s="127"/>
    </row>
    <row r="1184" spans="1:16" ht="15.75">
      <c r="A1184" s="260"/>
      <c r="B1184" s="147"/>
      <c r="C1184" s="132"/>
      <c r="D1184" s="129"/>
      <c r="E1184" s="129"/>
      <c r="F1184" s="130"/>
      <c r="G1184" s="399"/>
      <c r="H1184" s="158"/>
      <c r="I1184" s="419"/>
      <c r="J1184" s="158"/>
      <c r="K1184" s="406"/>
      <c r="L1184" s="158"/>
      <c r="M1184" s="120"/>
      <c r="N1184" s="158"/>
      <c r="O1184" s="406"/>
      <c r="P1184" s="127"/>
    </row>
    <row r="1185" spans="1:16" ht="15.75">
      <c r="A1185" s="260"/>
      <c r="B1185" s="488" t="s">
        <v>505</v>
      </c>
      <c r="C1185" s="1422" t="s">
        <v>506</v>
      </c>
      <c r="D1185" s="1423"/>
      <c r="E1185" s="1423"/>
      <c r="F1185" s="1424"/>
      <c r="G1185" s="489"/>
      <c r="H1185" s="490"/>
      <c r="I1185" s="419"/>
      <c r="J1185" s="158"/>
      <c r="K1185" s="406"/>
      <c r="L1185" s="158"/>
      <c r="M1185" s="120"/>
      <c r="N1185" s="158"/>
      <c r="O1185" s="406"/>
      <c r="P1185" s="127"/>
    </row>
    <row r="1186" spans="1:16" ht="18">
      <c r="A1186" s="260"/>
      <c r="B1186" s="488"/>
      <c r="C1186" s="1422" t="s">
        <v>757</v>
      </c>
      <c r="D1186" s="1423"/>
      <c r="E1186" s="1423"/>
      <c r="F1186" s="1424"/>
      <c r="G1186" s="489" t="s">
        <v>275</v>
      </c>
      <c r="H1186" s="491">
        <v>234</v>
      </c>
      <c r="I1186" s="419">
        <v>693.1</v>
      </c>
      <c r="J1186" s="158">
        <v>410.42</v>
      </c>
      <c r="K1186" s="406">
        <v>0</v>
      </c>
      <c r="L1186" s="158">
        <f>K1186+J1186</f>
        <v>410.42</v>
      </c>
      <c r="M1186" s="120">
        <f>H1186*I1186</f>
        <v>162185.4</v>
      </c>
      <c r="N1186" s="158"/>
      <c r="O1186" s="406">
        <v>0</v>
      </c>
      <c r="P1186" s="127">
        <f>H1186*L1186</f>
        <v>96038.28</v>
      </c>
    </row>
    <row r="1187" spans="1:16" ht="15.75">
      <c r="A1187" s="260"/>
      <c r="B1187" s="492"/>
      <c r="C1187" s="1422" t="s">
        <v>758</v>
      </c>
      <c r="D1187" s="1423"/>
      <c r="E1187" s="1423"/>
      <c r="F1187" s="1424"/>
      <c r="G1187" s="493"/>
      <c r="H1187" s="490"/>
      <c r="I1187" s="419"/>
      <c r="J1187" s="158"/>
      <c r="K1187" s="406"/>
      <c r="L1187" s="158"/>
      <c r="M1187" s="158"/>
      <c r="N1187" s="158"/>
      <c r="O1187" s="406"/>
      <c r="P1187" s="160"/>
    </row>
    <row r="1188" spans="1:16" ht="16.5" thickBot="1">
      <c r="A1188" s="260"/>
      <c r="B1188" s="155"/>
      <c r="C1188" s="156"/>
      <c r="D1188" s="159"/>
      <c r="E1188" s="159"/>
      <c r="F1188" s="143"/>
      <c r="G1188" s="157"/>
      <c r="H1188" s="158"/>
      <c r="I1188" s="419"/>
      <c r="J1188" s="158"/>
      <c r="K1188" s="406"/>
      <c r="L1188" s="158"/>
      <c r="M1188" s="158"/>
      <c r="N1188" s="158"/>
      <c r="O1188" s="406"/>
      <c r="P1188" s="160"/>
    </row>
    <row r="1189" spans="1:16" ht="17.25" thickTop="1" thickBot="1">
      <c r="A1189" s="260"/>
      <c r="B1189" s="276"/>
      <c r="C1189" s="277" t="s">
        <v>312</v>
      </c>
      <c r="D1189" s="278"/>
      <c r="E1189" s="278"/>
      <c r="F1189" s="278"/>
      <c r="G1189" s="280"/>
      <c r="H1189" s="281"/>
      <c r="I1189" s="420"/>
      <c r="J1189" s="281"/>
      <c r="K1189" s="407">
        <f t="shared" ref="K1189" si="368">SUM(K1142:K1188)</f>
        <v>0</v>
      </c>
      <c r="L1189" s="259"/>
      <c r="M1189" s="259">
        <f>SUM(M1132:M1188)</f>
        <v>508272.51159999997</v>
      </c>
      <c r="N1189" s="259">
        <f t="shared" ref="N1189:P1189" si="369">SUM(N1132:N1188)</f>
        <v>461273.64104000002</v>
      </c>
      <c r="O1189" s="407">
        <f t="shared" si="369"/>
        <v>0</v>
      </c>
      <c r="P1189" s="259">
        <f t="shared" si="369"/>
        <v>605863.72103999997</v>
      </c>
    </row>
    <row r="1190" spans="1:16" ht="16.5" thickTop="1">
      <c r="A1190" s="260"/>
      <c r="B1190" s="271"/>
      <c r="C1190" s="261"/>
      <c r="D1190" s="262"/>
      <c r="E1190" s="262"/>
      <c r="F1190" s="263"/>
      <c r="G1190" s="264"/>
      <c r="H1190" s="246"/>
      <c r="I1190" s="416"/>
      <c r="J1190" s="246"/>
      <c r="K1190" s="403"/>
      <c r="L1190" s="246"/>
      <c r="M1190" s="246"/>
      <c r="N1190" s="246"/>
      <c r="O1190" s="403"/>
      <c r="P1190" s="272"/>
    </row>
    <row r="1191" spans="1:16" ht="18">
      <c r="A1191" s="260"/>
      <c r="B1191" s="151" t="s">
        <v>513</v>
      </c>
      <c r="C1191" s="148" t="s">
        <v>286</v>
      </c>
      <c r="D1191" s="149"/>
      <c r="E1191" s="149"/>
      <c r="F1191" s="154"/>
      <c r="G1191" s="134"/>
      <c r="H1191" s="120"/>
      <c r="I1191" s="417"/>
      <c r="J1191" s="120"/>
      <c r="K1191" s="404"/>
      <c r="L1191" s="120"/>
      <c r="M1191" s="120"/>
      <c r="N1191" s="120"/>
      <c r="O1191" s="404"/>
      <c r="P1191" s="127"/>
    </row>
    <row r="1192" spans="1:16" ht="15.75">
      <c r="A1192" s="260"/>
      <c r="B1192" s="147"/>
      <c r="C1192" s="132"/>
      <c r="D1192" s="129"/>
      <c r="E1192" s="129"/>
      <c r="F1192" s="130"/>
      <c r="G1192" s="134"/>
      <c r="H1192" s="120"/>
      <c r="I1192" s="417"/>
      <c r="J1192" s="120"/>
      <c r="K1192" s="404"/>
      <c r="L1192" s="120"/>
      <c r="M1192" s="120"/>
      <c r="N1192" s="120"/>
      <c r="O1192" s="404"/>
      <c r="P1192" s="127"/>
    </row>
    <row r="1193" spans="1:16" ht="15.75">
      <c r="A1193" s="260"/>
      <c r="B1193" s="147"/>
      <c r="C1193" s="132" t="s">
        <v>530</v>
      </c>
      <c r="D1193" s="129"/>
      <c r="E1193" s="129"/>
      <c r="F1193" s="130"/>
      <c r="G1193" s="134"/>
      <c r="H1193" s="120"/>
      <c r="I1193" s="417"/>
      <c r="J1193" s="120"/>
      <c r="K1193" s="404"/>
      <c r="L1193" s="120"/>
      <c r="M1193" s="120"/>
      <c r="N1193" s="120"/>
      <c r="O1193" s="404"/>
      <c r="P1193" s="127"/>
    </row>
    <row r="1194" spans="1:16" ht="15.75">
      <c r="A1194" s="260"/>
      <c r="B1194" s="147"/>
      <c r="C1194" s="132"/>
      <c r="D1194" s="129"/>
      <c r="E1194" s="129"/>
      <c r="F1194" s="130"/>
      <c r="G1194" s="134"/>
      <c r="H1194" s="120"/>
      <c r="I1194" s="417"/>
      <c r="J1194" s="120"/>
      <c r="K1194" s="404"/>
      <c r="L1194" s="120"/>
      <c r="M1194" s="120"/>
      <c r="N1194" s="120"/>
      <c r="O1194" s="404"/>
      <c r="P1194" s="127"/>
    </row>
    <row r="1195" spans="1:16" ht="15.75">
      <c r="A1195" s="260"/>
      <c r="B1195" s="147"/>
      <c r="C1195" s="132" t="s">
        <v>416</v>
      </c>
      <c r="D1195" s="129"/>
      <c r="E1195" s="129"/>
      <c r="F1195" s="130"/>
      <c r="G1195" s="134"/>
      <c r="H1195" s="120"/>
      <c r="I1195" s="417"/>
      <c r="J1195" s="120"/>
      <c r="K1195" s="404"/>
      <c r="L1195" s="120"/>
      <c r="M1195" s="120"/>
      <c r="N1195" s="120"/>
      <c r="O1195" s="404"/>
      <c r="P1195" s="127"/>
    </row>
    <row r="1196" spans="1:16" ht="15.75">
      <c r="A1196" s="260"/>
      <c r="B1196" s="147"/>
      <c r="C1196" s="132"/>
      <c r="D1196" s="129"/>
      <c r="E1196" s="129"/>
      <c r="F1196" s="130"/>
      <c r="G1196" s="134"/>
      <c r="H1196" s="120"/>
      <c r="I1196" s="417"/>
      <c r="J1196" s="120"/>
      <c r="K1196" s="404"/>
      <c r="L1196" s="120"/>
      <c r="M1196" s="120"/>
      <c r="N1196" s="120"/>
      <c r="O1196" s="404"/>
      <c r="P1196" s="127"/>
    </row>
    <row r="1197" spans="1:16" ht="15.75">
      <c r="A1197" s="260"/>
      <c r="B1197" s="147"/>
      <c r="C1197" s="132" t="s">
        <v>417</v>
      </c>
      <c r="D1197" s="129"/>
      <c r="E1197" s="129"/>
      <c r="F1197" s="130"/>
      <c r="G1197" s="134" t="s">
        <v>484</v>
      </c>
      <c r="H1197" s="120">
        <v>53.55</v>
      </c>
      <c r="I1197" s="417">
        <v>290</v>
      </c>
      <c r="J1197" s="120">
        <v>0</v>
      </c>
      <c r="K1197" s="404"/>
      <c r="L1197" s="120">
        <f t="shared" ref="L1197:L1204" si="370">K1197+J1197</f>
        <v>0</v>
      </c>
      <c r="M1197" s="120">
        <f t="shared" ref="M1197:M1204" si="371">H1197*I1197</f>
        <v>15529.5</v>
      </c>
      <c r="N1197" s="120">
        <f t="shared" ref="N1197:N1204" si="372">H1197*J1197</f>
        <v>0</v>
      </c>
      <c r="O1197" s="404">
        <f t="shared" ref="O1197:O1204" si="373">K1197*H1197</f>
        <v>0</v>
      </c>
      <c r="P1197" s="127">
        <f t="shared" ref="P1197:P1204" si="374">H1197*L1197</f>
        <v>0</v>
      </c>
    </row>
    <row r="1198" spans="1:16" ht="15.75">
      <c r="A1198" s="260"/>
      <c r="B1198" s="147"/>
      <c r="C1198" s="132" t="s">
        <v>418</v>
      </c>
      <c r="D1198" s="129"/>
      <c r="E1198" s="129"/>
      <c r="F1198" s="130"/>
      <c r="G1198" s="134" t="s">
        <v>484</v>
      </c>
      <c r="H1198" s="120">
        <v>53.55</v>
      </c>
      <c r="I1198" s="417">
        <v>135</v>
      </c>
      <c r="J1198" s="120">
        <v>289.95</v>
      </c>
      <c r="K1198" s="404">
        <v>0</v>
      </c>
      <c r="L1198" s="120">
        <f t="shared" si="370"/>
        <v>289.95</v>
      </c>
      <c r="M1198" s="120">
        <f t="shared" si="371"/>
        <v>7229.25</v>
      </c>
      <c r="N1198" s="120">
        <f t="shared" si="372"/>
        <v>15526.822499999998</v>
      </c>
      <c r="O1198" s="404">
        <f t="shared" si="373"/>
        <v>0</v>
      </c>
      <c r="P1198" s="127">
        <f t="shared" si="374"/>
        <v>15526.822499999998</v>
      </c>
    </row>
    <row r="1199" spans="1:16" ht="15.75">
      <c r="A1199" s="260"/>
      <c r="B1199" s="147"/>
      <c r="C1199" s="132" t="s">
        <v>419</v>
      </c>
      <c r="D1199" s="129"/>
      <c r="E1199" s="129"/>
      <c r="F1199" s="130"/>
      <c r="G1199" s="134" t="s">
        <v>484</v>
      </c>
      <c r="H1199" s="120">
        <v>54.6</v>
      </c>
      <c r="I1199" s="417">
        <v>630</v>
      </c>
      <c r="J1199" s="120">
        <v>628.04999999999995</v>
      </c>
      <c r="K1199" s="404"/>
      <c r="L1199" s="120">
        <f t="shared" si="370"/>
        <v>628.04999999999995</v>
      </c>
      <c r="M1199" s="120">
        <f t="shared" si="371"/>
        <v>34398</v>
      </c>
      <c r="N1199" s="120">
        <f t="shared" si="372"/>
        <v>34291.53</v>
      </c>
      <c r="O1199" s="404">
        <f t="shared" si="373"/>
        <v>0</v>
      </c>
      <c r="P1199" s="127">
        <f t="shared" si="374"/>
        <v>34291.53</v>
      </c>
    </row>
    <row r="1200" spans="1:16" ht="15.75">
      <c r="A1200" s="260"/>
      <c r="B1200" s="147"/>
      <c r="C1200" s="132" t="s">
        <v>420</v>
      </c>
      <c r="D1200" s="129"/>
      <c r="E1200" s="129"/>
      <c r="F1200" s="130"/>
      <c r="G1200" s="134" t="s">
        <v>484</v>
      </c>
      <c r="H1200" s="120">
        <v>55.65</v>
      </c>
      <c r="I1200" s="417">
        <v>1085</v>
      </c>
      <c r="J1200" s="120">
        <f>1158.9+10</f>
        <v>1168.9000000000001</v>
      </c>
      <c r="K1200" s="404"/>
      <c r="L1200" s="120">
        <f t="shared" si="370"/>
        <v>1168.9000000000001</v>
      </c>
      <c r="M1200" s="120">
        <f t="shared" si="371"/>
        <v>60380.25</v>
      </c>
      <c r="N1200" s="120">
        <f t="shared" si="372"/>
        <v>65049.285000000003</v>
      </c>
      <c r="O1200" s="404">
        <f t="shared" si="373"/>
        <v>0</v>
      </c>
      <c r="P1200" s="127">
        <f t="shared" si="374"/>
        <v>65049.285000000003</v>
      </c>
    </row>
    <row r="1201" spans="1:16" ht="15.75">
      <c r="A1201" s="260"/>
      <c r="B1201" s="147"/>
      <c r="C1201" s="132" t="s">
        <v>421</v>
      </c>
      <c r="D1201" s="129"/>
      <c r="E1201" s="129"/>
      <c r="F1201" s="130"/>
      <c r="G1201" s="134" t="s">
        <v>484</v>
      </c>
      <c r="H1201" s="120">
        <v>56.7</v>
      </c>
      <c r="I1201" s="417">
        <v>1112</v>
      </c>
      <c r="J1201" s="120">
        <f>1230.35+107</f>
        <v>1337.35</v>
      </c>
      <c r="K1201" s="404">
        <v>0</v>
      </c>
      <c r="L1201" s="120">
        <f t="shared" si="370"/>
        <v>1337.35</v>
      </c>
      <c r="M1201" s="120">
        <f t="shared" si="371"/>
        <v>63050.400000000001</v>
      </c>
      <c r="N1201" s="120">
        <f t="shared" si="372"/>
        <v>75827.744999999995</v>
      </c>
      <c r="O1201" s="404">
        <f t="shared" si="373"/>
        <v>0</v>
      </c>
      <c r="P1201" s="127">
        <f t="shared" si="374"/>
        <v>75827.744999999995</v>
      </c>
    </row>
    <row r="1202" spans="1:16" ht="15.75">
      <c r="A1202" s="260"/>
      <c r="B1202" s="147"/>
      <c r="C1202" s="132" t="s">
        <v>422</v>
      </c>
      <c r="D1202" s="129"/>
      <c r="E1202" s="129"/>
      <c r="F1202" s="130"/>
      <c r="G1202" s="134" t="s">
        <v>484</v>
      </c>
      <c r="H1202" s="120">
        <v>58.8</v>
      </c>
      <c r="I1202" s="417">
        <v>1200</v>
      </c>
      <c r="J1202" s="120">
        <v>1546.7</v>
      </c>
      <c r="K1202" s="404">
        <v>0</v>
      </c>
      <c r="L1202" s="120">
        <f t="shared" si="370"/>
        <v>1546.7</v>
      </c>
      <c r="M1202" s="120">
        <f t="shared" si="371"/>
        <v>70560</v>
      </c>
      <c r="N1202" s="120">
        <f t="shared" si="372"/>
        <v>90945.959999999992</v>
      </c>
      <c r="O1202" s="404">
        <f t="shared" si="373"/>
        <v>0</v>
      </c>
      <c r="P1202" s="127">
        <f t="shared" si="374"/>
        <v>90945.959999999992</v>
      </c>
    </row>
    <row r="1203" spans="1:16" ht="15.75">
      <c r="A1203" s="260"/>
      <c r="B1203" s="147"/>
      <c r="C1203" s="132" t="s">
        <v>423</v>
      </c>
      <c r="D1203" s="129"/>
      <c r="E1203" s="129"/>
      <c r="F1203" s="130"/>
      <c r="G1203" s="134" t="s">
        <v>484</v>
      </c>
      <c r="H1203" s="120">
        <v>59.85</v>
      </c>
      <c r="I1203" s="417">
        <v>980</v>
      </c>
      <c r="J1203" s="120">
        <f>1102+24</f>
        <v>1126</v>
      </c>
      <c r="K1203" s="404">
        <v>0</v>
      </c>
      <c r="L1203" s="120">
        <f t="shared" si="370"/>
        <v>1126</v>
      </c>
      <c r="M1203" s="120">
        <f t="shared" si="371"/>
        <v>58653</v>
      </c>
      <c r="N1203" s="120">
        <f t="shared" si="372"/>
        <v>67391.100000000006</v>
      </c>
      <c r="O1203" s="404">
        <f t="shared" si="373"/>
        <v>0</v>
      </c>
      <c r="P1203" s="127">
        <f t="shared" si="374"/>
        <v>67391.100000000006</v>
      </c>
    </row>
    <row r="1204" spans="1:16" ht="15.75">
      <c r="A1204" s="260"/>
      <c r="B1204" s="147"/>
      <c r="C1204" s="132" t="s">
        <v>266</v>
      </c>
      <c r="D1204" s="129"/>
      <c r="E1204" s="129"/>
      <c r="F1204" s="130"/>
      <c r="G1204" s="134" t="s">
        <v>484</v>
      </c>
      <c r="H1204" s="120">
        <v>60.9</v>
      </c>
      <c r="I1204" s="417">
        <v>1330</v>
      </c>
      <c r="J1204" s="120">
        <v>1439</v>
      </c>
      <c r="K1204" s="404">
        <v>0</v>
      </c>
      <c r="L1204" s="120">
        <f t="shared" si="370"/>
        <v>1439</v>
      </c>
      <c r="M1204" s="120">
        <f t="shared" si="371"/>
        <v>80997</v>
      </c>
      <c r="N1204" s="120">
        <f t="shared" si="372"/>
        <v>87635.099999999991</v>
      </c>
      <c r="O1204" s="404">
        <f t="shared" si="373"/>
        <v>0</v>
      </c>
      <c r="P1204" s="127">
        <f t="shared" si="374"/>
        <v>87635.099999999991</v>
      </c>
    </row>
    <row r="1205" spans="1:16" ht="15.75">
      <c r="A1205" s="260"/>
      <c r="B1205" s="147"/>
      <c r="C1205" s="132"/>
      <c r="D1205" s="129"/>
      <c r="E1205" s="129"/>
      <c r="F1205" s="130"/>
      <c r="G1205" s="134"/>
      <c r="H1205" s="120"/>
      <c r="I1205" s="417"/>
      <c r="J1205" s="120"/>
      <c r="K1205" s="404"/>
      <c r="L1205" s="120"/>
      <c r="M1205" s="120"/>
      <c r="N1205" s="120"/>
      <c r="O1205" s="404"/>
      <c r="P1205" s="127"/>
    </row>
    <row r="1206" spans="1:16" ht="15.75">
      <c r="A1206" s="260"/>
      <c r="B1206" s="147"/>
      <c r="C1206" s="132" t="s">
        <v>424</v>
      </c>
      <c r="D1206" s="129"/>
      <c r="E1206" s="129"/>
      <c r="F1206" s="130"/>
      <c r="G1206" s="134"/>
      <c r="H1206" s="120"/>
      <c r="I1206" s="417"/>
      <c r="J1206" s="120"/>
      <c r="K1206" s="404"/>
      <c r="L1206" s="120">
        <f t="shared" ref="L1206:L1208" si="375">K1206+J1206</f>
        <v>0</v>
      </c>
      <c r="M1206" s="120">
        <f t="shared" ref="M1206:M1208" si="376">H1206*I1206</f>
        <v>0</v>
      </c>
      <c r="N1206" s="120">
        <f t="shared" ref="N1206:N1208" si="377">H1206*J1206</f>
        <v>0</v>
      </c>
      <c r="O1206" s="404">
        <f t="shared" ref="O1206:O1208" si="378">K1206*H1206</f>
        <v>0</v>
      </c>
      <c r="P1206" s="127">
        <f t="shared" ref="P1206:P1208" si="379">H1206*L1206</f>
        <v>0</v>
      </c>
    </row>
    <row r="1207" spans="1:16" ht="15.75">
      <c r="A1207" s="260"/>
      <c r="B1207" s="147"/>
      <c r="C1207" s="132"/>
      <c r="D1207" s="129"/>
      <c r="E1207" s="129"/>
      <c r="F1207" s="130"/>
      <c r="G1207" s="134"/>
      <c r="H1207" s="120"/>
      <c r="I1207" s="417"/>
      <c r="J1207" s="120"/>
      <c r="K1207" s="404"/>
      <c r="L1207" s="120">
        <f t="shared" si="375"/>
        <v>0</v>
      </c>
      <c r="M1207" s="120">
        <f t="shared" si="376"/>
        <v>0</v>
      </c>
      <c r="N1207" s="120">
        <f t="shared" si="377"/>
        <v>0</v>
      </c>
      <c r="O1207" s="404">
        <f t="shared" si="378"/>
        <v>0</v>
      </c>
      <c r="P1207" s="127">
        <f t="shared" si="379"/>
        <v>0</v>
      </c>
    </row>
    <row r="1208" spans="1:16" ht="15.75">
      <c r="A1208" s="260"/>
      <c r="B1208" s="147"/>
      <c r="C1208" s="132" t="s">
        <v>1087</v>
      </c>
      <c r="D1208" s="129"/>
      <c r="E1208" s="129"/>
      <c r="F1208" s="130"/>
      <c r="G1208" s="399" t="s">
        <v>484</v>
      </c>
      <c r="H1208" s="120">
        <v>59.85</v>
      </c>
      <c r="I1208" s="417">
        <v>1000</v>
      </c>
      <c r="J1208" s="120">
        <v>783.7</v>
      </c>
      <c r="K1208" s="404">
        <v>0</v>
      </c>
      <c r="L1208" s="120">
        <f t="shared" si="375"/>
        <v>783.7</v>
      </c>
      <c r="M1208" s="120">
        <f t="shared" si="376"/>
        <v>59850</v>
      </c>
      <c r="N1208" s="120">
        <f t="shared" si="377"/>
        <v>46904.445000000007</v>
      </c>
      <c r="O1208" s="404">
        <f t="shared" si="378"/>
        <v>0</v>
      </c>
      <c r="P1208" s="127">
        <f t="shared" si="379"/>
        <v>46904.445000000007</v>
      </c>
    </row>
    <row r="1209" spans="1:16" ht="15.75">
      <c r="A1209" s="260"/>
      <c r="B1209" s="147"/>
      <c r="C1209" s="132" t="s">
        <v>425</v>
      </c>
      <c r="D1209" s="129"/>
      <c r="E1209" s="129"/>
      <c r="F1209" s="130"/>
      <c r="G1209" s="134" t="s">
        <v>484</v>
      </c>
      <c r="H1209" s="120">
        <v>64.05</v>
      </c>
      <c r="I1209" s="417">
        <v>350</v>
      </c>
      <c r="J1209" s="120">
        <v>300</v>
      </c>
      <c r="K1209" s="404"/>
      <c r="L1209" s="120">
        <f t="shared" ref="L1209:L1221" si="380">K1209+J1209</f>
        <v>300</v>
      </c>
      <c r="M1209" s="120">
        <f t="shared" ref="M1209:M1222" si="381">H1209*I1209</f>
        <v>22417.5</v>
      </c>
      <c r="N1209" s="120">
        <f t="shared" ref="N1209:N1222" si="382">H1209*J1209</f>
        <v>19215</v>
      </c>
      <c r="O1209" s="404">
        <f t="shared" ref="O1209:O1222" si="383">K1209*H1209</f>
        <v>0</v>
      </c>
      <c r="P1209" s="127">
        <f t="shared" ref="P1209:P1222" si="384">H1209*L1209</f>
        <v>19215</v>
      </c>
    </row>
    <row r="1210" spans="1:16" ht="15.75">
      <c r="A1210" s="260"/>
      <c r="B1210" s="147"/>
      <c r="C1210" s="132" t="s">
        <v>426</v>
      </c>
      <c r="D1210" s="129"/>
      <c r="E1210" s="129"/>
      <c r="F1210" s="130"/>
      <c r="G1210" s="134" t="s">
        <v>484</v>
      </c>
      <c r="H1210" s="120">
        <v>66.150000000000006</v>
      </c>
      <c r="I1210" s="417">
        <v>610</v>
      </c>
      <c r="J1210" s="120">
        <v>600</v>
      </c>
      <c r="K1210" s="404"/>
      <c r="L1210" s="120">
        <f t="shared" si="380"/>
        <v>600</v>
      </c>
      <c r="M1210" s="120">
        <f t="shared" si="381"/>
        <v>40351.5</v>
      </c>
      <c r="N1210" s="120">
        <f t="shared" si="382"/>
        <v>39690</v>
      </c>
      <c r="O1210" s="404">
        <f t="shared" si="383"/>
        <v>0</v>
      </c>
      <c r="P1210" s="127">
        <f t="shared" si="384"/>
        <v>39690</v>
      </c>
    </row>
    <row r="1211" spans="1:16" ht="15.75">
      <c r="A1211" s="260"/>
      <c r="B1211" s="147"/>
      <c r="C1211" s="132" t="s">
        <v>1088</v>
      </c>
      <c r="D1211" s="129"/>
      <c r="E1211" s="129"/>
      <c r="F1211" s="130"/>
      <c r="G1211" s="134" t="s">
        <v>484</v>
      </c>
      <c r="H1211" s="120">
        <v>70.349999999999994</v>
      </c>
      <c r="I1211" s="417">
        <v>175</v>
      </c>
      <c r="J1211" s="120">
        <f>135+138</f>
        <v>273</v>
      </c>
      <c r="K1211" s="404">
        <v>0</v>
      </c>
      <c r="L1211" s="120">
        <f t="shared" si="380"/>
        <v>273</v>
      </c>
      <c r="M1211" s="120">
        <f t="shared" si="381"/>
        <v>12311.249999999998</v>
      </c>
      <c r="N1211" s="120">
        <f t="shared" si="382"/>
        <v>19205.55</v>
      </c>
      <c r="O1211" s="404">
        <f t="shared" si="383"/>
        <v>0</v>
      </c>
      <c r="P1211" s="127">
        <f t="shared" si="384"/>
        <v>19205.55</v>
      </c>
    </row>
    <row r="1212" spans="1:16" ht="15.75">
      <c r="A1212" s="260"/>
      <c r="B1212" s="147"/>
      <c r="C1212" s="132" t="s">
        <v>428</v>
      </c>
      <c r="D1212" s="129"/>
      <c r="E1212" s="129"/>
      <c r="F1212" s="130"/>
      <c r="G1212" s="134" t="s">
        <v>484</v>
      </c>
      <c r="H1212" s="120">
        <v>76.5</v>
      </c>
      <c r="I1212" s="417">
        <v>105</v>
      </c>
      <c r="J1212" s="120">
        <v>100</v>
      </c>
      <c r="K1212" s="404"/>
      <c r="L1212" s="120">
        <f t="shared" si="380"/>
        <v>100</v>
      </c>
      <c r="M1212" s="120">
        <f t="shared" si="381"/>
        <v>8032.5</v>
      </c>
      <c r="N1212" s="120">
        <f t="shared" si="382"/>
        <v>7650</v>
      </c>
      <c r="O1212" s="404">
        <f t="shared" si="383"/>
        <v>0</v>
      </c>
      <c r="P1212" s="127">
        <f t="shared" si="384"/>
        <v>7650</v>
      </c>
    </row>
    <row r="1213" spans="1:16" ht="15.75">
      <c r="A1213" s="260"/>
      <c r="B1213" s="147"/>
      <c r="C1213" s="132"/>
      <c r="D1213" s="129"/>
      <c r="E1213" s="129"/>
      <c r="F1213" s="130"/>
      <c r="G1213" s="134"/>
      <c r="H1213" s="120"/>
      <c r="I1213" s="417"/>
      <c r="J1213" s="120"/>
      <c r="K1213" s="404"/>
      <c r="L1213" s="120">
        <f t="shared" si="380"/>
        <v>0</v>
      </c>
      <c r="M1213" s="120">
        <f t="shared" si="381"/>
        <v>0</v>
      </c>
      <c r="N1213" s="120">
        <f t="shared" si="382"/>
        <v>0</v>
      </c>
      <c r="O1213" s="404">
        <f t="shared" si="383"/>
        <v>0</v>
      </c>
      <c r="P1213" s="127">
        <f t="shared" si="384"/>
        <v>0</v>
      </c>
    </row>
    <row r="1214" spans="1:16" ht="15.75">
      <c r="A1214" s="260"/>
      <c r="B1214" s="147"/>
      <c r="C1214" s="132" t="s">
        <v>429</v>
      </c>
      <c r="D1214" s="129"/>
      <c r="E1214" s="129"/>
      <c r="F1214" s="130"/>
      <c r="G1214" s="134"/>
      <c r="H1214" s="120"/>
      <c r="I1214" s="417"/>
      <c r="J1214" s="120"/>
      <c r="K1214" s="404"/>
      <c r="L1214" s="120">
        <f t="shared" si="380"/>
        <v>0</v>
      </c>
      <c r="M1214" s="120">
        <f t="shared" si="381"/>
        <v>0</v>
      </c>
      <c r="N1214" s="120">
        <f t="shared" si="382"/>
        <v>0</v>
      </c>
      <c r="O1214" s="404">
        <f t="shared" si="383"/>
        <v>0</v>
      </c>
      <c r="P1214" s="127">
        <f t="shared" si="384"/>
        <v>0</v>
      </c>
    </row>
    <row r="1215" spans="1:16" ht="15.75">
      <c r="A1215" s="260"/>
      <c r="B1215" s="147"/>
      <c r="C1215" s="132"/>
      <c r="D1215" s="129"/>
      <c r="E1215" s="129"/>
      <c r="F1215" s="130"/>
      <c r="G1215" s="134"/>
      <c r="H1215" s="120"/>
      <c r="I1215" s="417"/>
      <c r="J1215" s="120"/>
      <c r="K1215" s="404"/>
      <c r="L1215" s="120">
        <f t="shared" si="380"/>
        <v>0</v>
      </c>
      <c r="M1215" s="120">
        <f t="shared" si="381"/>
        <v>0</v>
      </c>
      <c r="N1215" s="120">
        <f t="shared" si="382"/>
        <v>0</v>
      </c>
      <c r="O1215" s="404">
        <f t="shared" si="383"/>
        <v>0</v>
      </c>
      <c r="P1215" s="127">
        <f t="shared" si="384"/>
        <v>0</v>
      </c>
    </row>
    <row r="1216" spans="1:16" ht="15.75">
      <c r="A1216" s="260"/>
      <c r="B1216" s="147"/>
      <c r="C1216" s="132" t="s">
        <v>421</v>
      </c>
      <c r="D1216" s="129"/>
      <c r="E1216" s="129"/>
      <c r="F1216" s="130"/>
      <c r="G1216" s="134" t="s">
        <v>484</v>
      </c>
      <c r="H1216" s="120">
        <v>147.28</v>
      </c>
      <c r="I1216" s="417">
        <v>7</v>
      </c>
      <c r="J1216" s="120">
        <v>24</v>
      </c>
      <c r="K1216" s="404"/>
      <c r="L1216" s="120">
        <f t="shared" si="380"/>
        <v>24</v>
      </c>
      <c r="M1216" s="120">
        <f t="shared" si="381"/>
        <v>1030.96</v>
      </c>
      <c r="N1216" s="120">
        <f t="shared" si="382"/>
        <v>3534.7200000000003</v>
      </c>
      <c r="O1216" s="404">
        <f t="shared" si="383"/>
        <v>0</v>
      </c>
      <c r="P1216" s="127">
        <f t="shared" si="384"/>
        <v>3534.7200000000003</v>
      </c>
    </row>
    <row r="1217" spans="1:16" ht="15.75">
      <c r="A1217" s="260"/>
      <c r="B1217" s="147"/>
      <c r="C1217" s="132" t="s">
        <v>422</v>
      </c>
      <c r="D1217" s="129"/>
      <c r="E1217" s="129"/>
      <c r="F1217" s="130"/>
      <c r="G1217" s="134" t="s">
        <v>484</v>
      </c>
      <c r="H1217" s="120">
        <v>149.38</v>
      </c>
      <c r="I1217" s="417">
        <v>12</v>
      </c>
      <c r="J1217" s="120">
        <v>12</v>
      </c>
      <c r="K1217" s="404"/>
      <c r="L1217" s="120">
        <f t="shared" si="380"/>
        <v>12</v>
      </c>
      <c r="M1217" s="120">
        <f t="shared" si="381"/>
        <v>1792.56</v>
      </c>
      <c r="N1217" s="120">
        <f t="shared" si="382"/>
        <v>1792.56</v>
      </c>
      <c r="O1217" s="404">
        <f t="shared" si="383"/>
        <v>0</v>
      </c>
      <c r="P1217" s="127">
        <f t="shared" si="384"/>
        <v>1792.56</v>
      </c>
    </row>
    <row r="1218" spans="1:16" ht="15.75">
      <c r="A1218" s="260"/>
      <c r="B1218" s="147"/>
      <c r="C1218" s="132" t="s">
        <v>423</v>
      </c>
      <c r="D1218" s="129"/>
      <c r="E1218" s="129"/>
      <c r="F1218" s="130"/>
      <c r="G1218" s="134" t="s">
        <v>484</v>
      </c>
      <c r="H1218" s="120">
        <v>150.43</v>
      </c>
      <c r="I1218" s="417">
        <v>22</v>
      </c>
      <c r="J1218" s="120">
        <v>27</v>
      </c>
      <c r="K1218" s="404"/>
      <c r="L1218" s="120">
        <f t="shared" si="380"/>
        <v>27</v>
      </c>
      <c r="M1218" s="120">
        <f t="shared" si="381"/>
        <v>3309.46</v>
      </c>
      <c r="N1218" s="120">
        <f t="shared" si="382"/>
        <v>4061.61</v>
      </c>
      <c r="O1218" s="404">
        <f t="shared" si="383"/>
        <v>0</v>
      </c>
      <c r="P1218" s="127">
        <f t="shared" si="384"/>
        <v>4061.61</v>
      </c>
    </row>
    <row r="1219" spans="1:16" ht="15.75">
      <c r="A1219" s="260"/>
      <c r="B1219" s="147"/>
      <c r="C1219" s="132" t="s">
        <v>266</v>
      </c>
      <c r="D1219" s="129"/>
      <c r="E1219" s="129"/>
      <c r="F1219" s="130"/>
      <c r="G1219" s="134" t="s">
        <v>484</v>
      </c>
      <c r="H1219" s="120">
        <v>151.47999999999999</v>
      </c>
      <c r="I1219" s="417">
        <v>8</v>
      </c>
      <c r="J1219" s="120">
        <v>18</v>
      </c>
      <c r="K1219" s="404"/>
      <c r="L1219" s="120">
        <f t="shared" si="380"/>
        <v>18</v>
      </c>
      <c r="M1219" s="120">
        <f t="shared" si="381"/>
        <v>1211.8399999999999</v>
      </c>
      <c r="N1219" s="120">
        <f t="shared" si="382"/>
        <v>2726.64</v>
      </c>
      <c r="O1219" s="404">
        <f t="shared" si="383"/>
        <v>0</v>
      </c>
      <c r="P1219" s="127">
        <f t="shared" si="384"/>
        <v>2726.64</v>
      </c>
    </row>
    <row r="1220" spans="1:16" ht="15.75">
      <c r="A1220" s="260"/>
      <c r="B1220" s="147"/>
      <c r="C1220" s="132" t="s">
        <v>425</v>
      </c>
      <c r="D1220" s="129"/>
      <c r="E1220" s="129"/>
      <c r="F1220" s="130"/>
      <c r="G1220" s="134" t="s">
        <v>484</v>
      </c>
      <c r="H1220" s="120">
        <v>153.58000000000001</v>
      </c>
      <c r="I1220" s="417">
        <v>18</v>
      </c>
      <c r="J1220" s="120">
        <v>18</v>
      </c>
      <c r="K1220" s="404"/>
      <c r="L1220" s="120">
        <f t="shared" si="380"/>
        <v>18</v>
      </c>
      <c r="M1220" s="120">
        <f t="shared" si="381"/>
        <v>2764.44</v>
      </c>
      <c r="N1220" s="120">
        <f t="shared" si="382"/>
        <v>2764.44</v>
      </c>
      <c r="O1220" s="404">
        <f t="shared" si="383"/>
        <v>0</v>
      </c>
      <c r="P1220" s="127">
        <f t="shared" si="384"/>
        <v>2764.44</v>
      </c>
    </row>
    <row r="1221" spans="1:16" ht="15.75">
      <c r="A1221" s="260"/>
      <c r="B1221" s="147"/>
      <c r="C1221" s="132" t="s">
        <v>426</v>
      </c>
      <c r="D1221" s="129"/>
      <c r="E1221" s="129"/>
      <c r="F1221" s="130"/>
      <c r="G1221" s="134" t="s">
        <v>484</v>
      </c>
      <c r="H1221" s="120">
        <v>156.72999999999999</v>
      </c>
      <c r="I1221" s="417">
        <v>22</v>
      </c>
      <c r="J1221" s="120">
        <v>27</v>
      </c>
      <c r="K1221" s="404"/>
      <c r="L1221" s="120">
        <f t="shared" si="380"/>
        <v>27</v>
      </c>
      <c r="M1221" s="120">
        <f t="shared" si="381"/>
        <v>3448.06</v>
      </c>
      <c r="N1221" s="120">
        <f t="shared" si="382"/>
        <v>4231.71</v>
      </c>
      <c r="O1221" s="404">
        <f t="shared" si="383"/>
        <v>0</v>
      </c>
      <c r="P1221" s="127">
        <f t="shared" si="384"/>
        <v>4231.71</v>
      </c>
    </row>
    <row r="1222" spans="1:16" ht="15.75">
      <c r="A1222" s="260"/>
      <c r="B1222" s="147"/>
      <c r="C1222" s="132" t="s">
        <v>427</v>
      </c>
      <c r="D1222" s="129"/>
      <c r="E1222" s="129"/>
      <c r="F1222" s="130"/>
      <c r="G1222" s="134" t="s">
        <v>484</v>
      </c>
      <c r="H1222" s="120">
        <v>161.97999999999999</v>
      </c>
      <c r="I1222" s="417">
        <v>12</v>
      </c>
      <c r="J1222" s="120">
        <v>15</v>
      </c>
      <c r="K1222" s="404"/>
      <c r="L1222" s="120">
        <f>K1222+J1222</f>
        <v>15</v>
      </c>
      <c r="M1222" s="120">
        <f t="shared" si="381"/>
        <v>1943.7599999999998</v>
      </c>
      <c r="N1222" s="120">
        <f t="shared" si="382"/>
        <v>2429.6999999999998</v>
      </c>
      <c r="O1222" s="404">
        <f t="shared" si="383"/>
        <v>0</v>
      </c>
      <c r="P1222" s="127">
        <f t="shared" si="384"/>
        <v>2429.6999999999998</v>
      </c>
    </row>
    <row r="1223" spans="1:16" ht="15.75">
      <c r="A1223" s="260"/>
      <c r="B1223" s="147"/>
      <c r="C1223" s="132"/>
      <c r="D1223" s="129"/>
      <c r="E1223" s="129"/>
      <c r="F1223" s="130"/>
      <c r="G1223" s="134"/>
      <c r="H1223" s="120"/>
      <c r="I1223" s="417"/>
      <c r="J1223" s="120"/>
      <c r="K1223" s="404"/>
      <c r="L1223" s="120">
        <f t="shared" ref="L1223:L1265" si="385">K1223+J1223</f>
        <v>0</v>
      </c>
      <c r="M1223" s="120"/>
      <c r="N1223" s="120"/>
      <c r="O1223" s="404"/>
      <c r="P1223" s="127"/>
    </row>
    <row r="1224" spans="1:16" ht="15.75">
      <c r="A1224" s="260"/>
      <c r="B1224" s="147"/>
      <c r="C1224" s="132" t="s">
        <v>531</v>
      </c>
      <c r="D1224" s="129"/>
      <c r="E1224" s="129"/>
      <c r="F1224" s="130"/>
      <c r="G1224" s="134"/>
      <c r="H1224" s="120"/>
      <c r="I1224" s="417"/>
      <c r="J1224" s="120"/>
      <c r="K1224" s="404"/>
      <c r="L1224" s="120">
        <f t="shared" si="385"/>
        <v>0</v>
      </c>
      <c r="M1224" s="120"/>
      <c r="N1224" s="120"/>
      <c r="O1224" s="404"/>
      <c r="P1224" s="127"/>
    </row>
    <row r="1225" spans="1:16" ht="15.75">
      <c r="A1225" s="260"/>
      <c r="B1225" s="147"/>
      <c r="C1225" s="132"/>
      <c r="D1225" s="129"/>
      <c r="E1225" s="129"/>
      <c r="F1225" s="130"/>
      <c r="G1225" s="134"/>
      <c r="H1225" s="120"/>
      <c r="I1225" s="417"/>
      <c r="J1225" s="120"/>
      <c r="K1225" s="404"/>
      <c r="L1225" s="120">
        <f t="shared" si="385"/>
        <v>0</v>
      </c>
      <c r="M1225" s="120"/>
      <c r="N1225" s="120"/>
      <c r="O1225" s="404"/>
      <c r="P1225" s="127"/>
    </row>
    <row r="1226" spans="1:16" ht="15.75">
      <c r="A1226" s="260"/>
      <c r="B1226" s="147"/>
      <c r="C1226" s="132" t="s">
        <v>416</v>
      </c>
      <c r="D1226" s="129"/>
      <c r="E1226" s="129"/>
      <c r="F1226" s="130"/>
      <c r="G1226" s="134"/>
      <c r="H1226" s="120"/>
      <c r="I1226" s="417"/>
      <c r="J1226" s="120"/>
      <c r="K1226" s="404"/>
      <c r="L1226" s="120">
        <f t="shared" si="385"/>
        <v>0</v>
      </c>
      <c r="M1226" s="120"/>
      <c r="N1226" s="120"/>
      <c r="O1226" s="404"/>
      <c r="P1226" s="127"/>
    </row>
    <row r="1227" spans="1:16" ht="15.75">
      <c r="A1227" s="260"/>
      <c r="B1227" s="147"/>
      <c r="C1227" s="132"/>
      <c r="D1227" s="129"/>
      <c r="E1227" s="129"/>
      <c r="F1227" s="130"/>
      <c r="G1227" s="134"/>
      <c r="H1227" s="120"/>
      <c r="I1227" s="417"/>
      <c r="J1227" s="120"/>
      <c r="K1227" s="404"/>
      <c r="L1227" s="120">
        <f t="shared" si="385"/>
        <v>0</v>
      </c>
      <c r="M1227" s="120"/>
      <c r="N1227" s="120"/>
      <c r="O1227" s="404"/>
      <c r="P1227" s="127"/>
    </row>
    <row r="1228" spans="1:16" ht="15.75">
      <c r="A1228" s="260"/>
      <c r="B1228" s="147"/>
      <c r="C1228" s="132" t="s">
        <v>417</v>
      </c>
      <c r="D1228" s="129"/>
      <c r="E1228" s="129"/>
      <c r="F1228" s="130"/>
      <c r="G1228" s="134" t="s">
        <v>484</v>
      </c>
      <c r="H1228" s="120">
        <v>95.55</v>
      </c>
      <c r="I1228" s="417">
        <v>15</v>
      </c>
      <c r="J1228" s="120"/>
      <c r="K1228" s="404"/>
      <c r="L1228" s="120">
        <f t="shared" si="385"/>
        <v>0</v>
      </c>
      <c r="M1228" s="120">
        <f>H1228*I1228</f>
        <v>1433.25</v>
      </c>
      <c r="N1228" s="120">
        <f>H1228*J1228</f>
        <v>0</v>
      </c>
      <c r="O1228" s="404">
        <f>K1228*H1228</f>
        <v>0</v>
      </c>
      <c r="P1228" s="127">
        <f>H1228*L1228</f>
        <v>0</v>
      </c>
    </row>
    <row r="1229" spans="1:16" ht="15.75">
      <c r="A1229" s="260"/>
      <c r="B1229" s="147"/>
      <c r="C1229" s="132" t="s">
        <v>418</v>
      </c>
      <c r="D1229" s="129"/>
      <c r="E1229" s="129"/>
      <c r="F1229" s="130"/>
      <c r="G1229" s="134" t="s">
        <v>484</v>
      </c>
      <c r="H1229" s="120">
        <v>96.6</v>
      </c>
      <c r="I1229" s="417">
        <v>7</v>
      </c>
      <c r="J1229" s="120">
        <v>214.97</v>
      </c>
      <c r="K1229" s="404"/>
      <c r="L1229" s="120">
        <f t="shared" si="385"/>
        <v>214.97</v>
      </c>
      <c r="M1229" s="120">
        <f t="shared" ref="M1229:M1235" si="386">H1229*I1229</f>
        <v>676.19999999999993</v>
      </c>
      <c r="N1229" s="120">
        <f>H1229*J1229</f>
        <v>20766.101999999999</v>
      </c>
      <c r="O1229" s="404">
        <f t="shared" ref="O1229:O1235" si="387">K1229*H1229</f>
        <v>0</v>
      </c>
      <c r="P1229" s="127">
        <f t="shared" ref="P1229:P1235" si="388">H1229*L1229</f>
        <v>20766.101999999999</v>
      </c>
    </row>
    <row r="1230" spans="1:16" ht="15.75">
      <c r="A1230" s="260"/>
      <c r="B1230" s="147"/>
      <c r="C1230" s="132" t="s">
        <v>419</v>
      </c>
      <c r="D1230" s="129"/>
      <c r="E1230" s="129"/>
      <c r="F1230" s="130"/>
      <c r="G1230" s="134" t="s">
        <v>484</v>
      </c>
      <c r="H1230" s="120">
        <v>96.6</v>
      </c>
      <c r="I1230" s="417">
        <v>35</v>
      </c>
      <c r="J1230" s="120">
        <v>233.05</v>
      </c>
      <c r="K1230" s="404"/>
      <c r="L1230" s="120">
        <f t="shared" si="385"/>
        <v>233.05</v>
      </c>
      <c r="M1230" s="120">
        <f t="shared" si="386"/>
        <v>3381</v>
      </c>
      <c r="N1230" s="120">
        <f t="shared" ref="N1230:N1235" si="389">H1230*J1230</f>
        <v>22512.63</v>
      </c>
      <c r="O1230" s="404">
        <f t="shared" si="387"/>
        <v>0</v>
      </c>
      <c r="P1230" s="127">
        <f t="shared" si="388"/>
        <v>22512.63</v>
      </c>
    </row>
    <row r="1231" spans="1:16" ht="15.75">
      <c r="A1231" s="260"/>
      <c r="B1231" s="147"/>
      <c r="C1231" s="132" t="s">
        <v>420</v>
      </c>
      <c r="D1231" s="129"/>
      <c r="E1231" s="129"/>
      <c r="F1231" s="130"/>
      <c r="G1231" s="134" t="s">
        <v>484</v>
      </c>
      <c r="H1231" s="120">
        <v>97.65</v>
      </c>
      <c r="I1231" s="417">
        <v>60</v>
      </c>
      <c r="J1231" s="120">
        <v>256.89999999999998</v>
      </c>
      <c r="K1231" s="404"/>
      <c r="L1231" s="120">
        <f t="shared" si="385"/>
        <v>256.89999999999998</v>
      </c>
      <c r="M1231" s="120">
        <f t="shared" si="386"/>
        <v>5859</v>
      </c>
      <c r="N1231" s="120">
        <f t="shared" si="389"/>
        <v>25086.285</v>
      </c>
      <c r="O1231" s="404">
        <f t="shared" si="387"/>
        <v>0</v>
      </c>
      <c r="P1231" s="127">
        <f t="shared" si="388"/>
        <v>25086.285</v>
      </c>
    </row>
    <row r="1232" spans="1:16" ht="15.75">
      <c r="A1232" s="260"/>
      <c r="B1232" s="147"/>
      <c r="C1232" s="132" t="s">
        <v>421</v>
      </c>
      <c r="D1232" s="129"/>
      <c r="E1232" s="129"/>
      <c r="F1232" s="130"/>
      <c r="G1232" s="134" t="s">
        <v>484</v>
      </c>
      <c r="H1232" s="120">
        <v>98.7</v>
      </c>
      <c r="I1232" s="417">
        <v>60</v>
      </c>
      <c r="J1232" s="120">
        <v>551.35</v>
      </c>
      <c r="K1232" s="404"/>
      <c r="L1232" s="120">
        <f t="shared" si="385"/>
        <v>551.35</v>
      </c>
      <c r="M1232" s="120">
        <f t="shared" si="386"/>
        <v>5922</v>
      </c>
      <c r="N1232" s="120">
        <f t="shared" si="389"/>
        <v>54418.245000000003</v>
      </c>
      <c r="O1232" s="404">
        <f t="shared" si="387"/>
        <v>0</v>
      </c>
      <c r="P1232" s="127">
        <f t="shared" si="388"/>
        <v>54418.245000000003</v>
      </c>
    </row>
    <row r="1233" spans="1:16" ht="15.75">
      <c r="A1233" s="260"/>
      <c r="B1233" s="147"/>
      <c r="C1233" s="132" t="s">
        <v>422</v>
      </c>
      <c r="D1233" s="129"/>
      <c r="E1233" s="129"/>
      <c r="F1233" s="130"/>
      <c r="G1233" s="134" t="s">
        <v>484</v>
      </c>
      <c r="H1233" s="120">
        <v>100.8</v>
      </c>
      <c r="I1233" s="417">
        <v>65</v>
      </c>
      <c r="J1233" s="120">
        <v>813.7</v>
      </c>
      <c r="K1233" s="404"/>
      <c r="L1233" s="120">
        <f t="shared" si="385"/>
        <v>813.7</v>
      </c>
      <c r="M1233" s="120">
        <f t="shared" si="386"/>
        <v>6552</v>
      </c>
      <c r="N1233" s="120">
        <f t="shared" si="389"/>
        <v>82020.960000000006</v>
      </c>
      <c r="O1233" s="404">
        <f t="shared" si="387"/>
        <v>0</v>
      </c>
      <c r="P1233" s="127">
        <f t="shared" si="388"/>
        <v>82020.960000000006</v>
      </c>
    </row>
    <row r="1234" spans="1:16" ht="15.75">
      <c r="A1234" s="260"/>
      <c r="B1234" s="147"/>
      <c r="C1234" s="132" t="s">
        <v>423</v>
      </c>
      <c r="D1234" s="129"/>
      <c r="E1234" s="129"/>
      <c r="F1234" s="130"/>
      <c r="G1234" s="134" t="s">
        <v>484</v>
      </c>
      <c r="H1234" s="120">
        <v>102.9</v>
      </c>
      <c r="I1234" s="417">
        <v>52</v>
      </c>
      <c r="J1234" s="120">
        <v>51</v>
      </c>
      <c r="K1234" s="404"/>
      <c r="L1234" s="120">
        <f t="shared" si="385"/>
        <v>51</v>
      </c>
      <c r="M1234" s="120">
        <f t="shared" si="386"/>
        <v>5350.8</v>
      </c>
      <c r="N1234" s="120">
        <f t="shared" si="389"/>
        <v>5247.9000000000005</v>
      </c>
      <c r="O1234" s="404">
        <f t="shared" si="387"/>
        <v>0</v>
      </c>
      <c r="P1234" s="127">
        <f t="shared" si="388"/>
        <v>5247.9000000000005</v>
      </c>
    </row>
    <row r="1235" spans="1:16" ht="15.75">
      <c r="A1235" s="260"/>
      <c r="B1235" s="147"/>
      <c r="C1235" s="132" t="s">
        <v>266</v>
      </c>
      <c r="D1235" s="129"/>
      <c r="E1235" s="129"/>
      <c r="F1235" s="130"/>
      <c r="G1235" s="134" t="s">
        <v>484</v>
      </c>
      <c r="H1235" s="120">
        <v>103.95</v>
      </c>
      <c r="I1235" s="417">
        <v>70</v>
      </c>
      <c r="J1235" s="120">
        <v>539</v>
      </c>
      <c r="K1235" s="404"/>
      <c r="L1235" s="120">
        <f t="shared" si="385"/>
        <v>539</v>
      </c>
      <c r="M1235" s="120">
        <f t="shared" si="386"/>
        <v>7276.5</v>
      </c>
      <c r="N1235" s="120">
        <f t="shared" si="389"/>
        <v>56029.05</v>
      </c>
      <c r="O1235" s="404">
        <f t="shared" si="387"/>
        <v>0</v>
      </c>
      <c r="P1235" s="127">
        <f t="shared" si="388"/>
        <v>56029.05</v>
      </c>
    </row>
    <row r="1236" spans="1:16" ht="15.75">
      <c r="A1236" s="260"/>
      <c r="B1236" s="147"/>
      <c r="C1236" s="132"/>
      <c r="D1236" s="129"/>
      <c r="E1236" s="129"/>
      <c r="F1236" s="130"/>
      <c r="G1236" s="134"/>
      <c r="H1236" s="120"/>
      <c r="I1236" s="417"/>
      <c r="J1236" s="120"/>
      <c r="K1236" s="404"/>
      <c r="L1236" s="120">
        <f t="shared" si="385"/>
        <v>0</v>
      </c>
      <c r="M1236" s="120"/>
      <c r="N1236" s="120"/>
      <c r="O1236" s="404"/>
      <c r="P1236" s="127"/>
    </row>
    <row r="1237" spans="1:16" ht="15.75">
      <c r="A1237" s="260"/>
      <c r="B1237" s="147"/>
      <c r="C1237" s="132" t="s">
        <v>424</v>
      </c>
      <c r="D1237" s="129"/>
      <c r="E1237" s="129"/>
      <c r="F1237" s="130"/>
      <c r="G1237" s="134"/>
      <c r="H1237" s="120"/>
      <c r="I1237" s="417"/>
      <c r="J1237" s="120"/>
      <c r="K1237" s="404"/>
      <c r="L1237" s="120">
        <f t="shared" si="385"/>
        <v>0</v>
      </c>
      <c r="M1237" s="120"/>
      <c r="N1237" s="120"/>
      <c r="O1237" s="404"/>
      <c r="P1237" s="127"/>
    </row>
    <row r="1238" spans="1:16" ht="15.75">
      <c r="A1238" s="260"/>
      <c r="B1238" s="147"/>
      <c r="C1238" s="132"/>
      <c r="D1238" s="129"/>
      <c r="E1238" s="129"/>
      <c r="F1238" s="130"/>
      <c r="G1238" s="134"/>
      <c r="H1238" s="120"/>
      <c r="I1238" s="417"/>
      <c r="J1238" s="120"/>
      <c r="K1238" s="404"/>
      <c r="L1238" s="120">
        <f t="shared" si="385"/>
        <v>0</v>
      </c>
      <c r="M1238" s="120"/>
      <c r="N1238" s="120"/>
      <c r="O1238" s="404"/>
      <c r="P1238" s="127"/>
    </row>
    <row r="1239" spans="1:16" ht="15.75">
      <c r="A1239" s="260"/>
      <c r="B1239" s="147"/>
      <c r="C1239" s="132" t="s">
        <v>425</v>
      </c>
      <c r="D1239" s="129"/>
      <c r="E1239" s="129"/>
      <c r="F1239" s="130"/>
      <c r="G1239" s="134" t="s">
        <v>484</v>
      </c>
      <c r="H1239" s="120">
        <v>106.05</v>
      </c>
      <c r="I1239" s="417">
        <v>20</v>
      </c>
      <c r="J1239" s="120">
        <v>20</v>
      </c>
      <c r="K1239" s="404"/>
      <c r="L1239" s="120">
        <f t="shared" si="385"/>
        <v>20</v>
      </c>
      <c r="M1239" s="120">
        <f>H1239*I1239</f>
        <v>2121</v>
      </c>
      <c r="N1239" s="120">
        <f>H1239*J1239</f>
        <v>2121</v>
      </c>
      <c r="O1239" s="404">
        <f>K1239*H1239</f>
        <v>0</v>
      </c>
      <c r="P1239" s="127">
        <f>H1239*L1239</f>
        <v>2121</v>
      </c>
    </row>
    <row r="1240" spans="1:16" ht="15.75">
      <c r="A1240" s="260"/>
      <c r="B1240" s="147"/>
      <c r="C1240" s="132" t="s">
        <v>426</v>
      </c>
      <c r="D1240" s="129"/>
      <c r="E1240" s="129"/>
      <c r="F1240" s="130"/>
      <c r="G1240" s="134" t="s">
        <v>484</v>
      </c>
      <c r="H1240" s="120">
        <v>108.15</v>
      </c>
      <c r="I1240" s="417">
        <v>35</v>
      </c>
      <c r="J1240" s="120">
        <v>35</v>
      </c>
      <c r="K1240" s="404"/>
      <c r="L1240" s="120">
        <f t="shared" si="385"/>
        <v>35</v>
      </c>
      <c r="M1240" s="120">
        <f>H1240*I1240</f>
        <v>3785.25</v>
      </c>
      <c r="N1240" s="120">
        <f>H1240*J1240</f>
        <v>3785.25</v>
      </c>
      <c r="O1240" s="404">
        <f>K1240*H1240</f>
        <v>0</v>
      </c>
      <c r="P1240" s="127">
        <f>H1240*L1240</f>
        <v>3785.25</v>
      </c>
    </row>
    <row r="1241" spans="1:16" ht="15.75">
      <c r="A1241" s="260"/>
      <c r="B1241" s="147"/>
      <c r="C1241" s="132" t="s">
        <v>427</v>
      </c>
      <c r="D1241" s="129"/>
      <c r="E1241" s="129"/>
      <c r="F1241" s="130"/>
      <c r="G1241" s="134" t="s">
        <v>484</v>
      </c>
      <c r="H1241" s="120">
        <v>112.35</v>
      </c>
      <c r="I1241" s="417">
        <v>10</v>
      </c>
      <c r="J1241" s="120">
        <v>79</v>
      </c>
      <c r="K1241" s="404"/>
      <c r="L1241" s="120">
        <f t="shared" si="385"/>
        <v>79</v>
      </c>
      <c r="M1241" s="120">
        <f>H1241*I1241</f>
        <v>1123.5</v>
      </c>
      <c r="N1241" s="120">
        <f>H1241*J1241</f>
        <v>8875.65</v>
      </c>
      <c r="O1241" s="404">
        <f>K1241*H1241</f>
        <v>0</v>
      </c>
      <c r="P1241" s="127">
        <f>H1241*L1241</f>
        <v>8875.65</v>
      </c>
    </row>
    <row r="1242" spans="1:16" ht="15.75">
      <c r="A1242" s="260"/>
      <c r="B1242" s="147"/>
      <c r="C1242" s="132" t="s">
        <v>428</v>
      </c>
      <c r="D1242" s="129"/>
      <c r="E1242" s="129"/>
      <c r="F1242" s="130"/>
      <c r="G1242" s="134" t="s">
        <v>484</v>
      </c>
      <c r="H1242" s="120">
        <v>117.6</v>
      </c>
      <c r="I1242" s="417">
        <v>6</v>
      </c>
      <c r="J1242" s="120">
        <v>6</v>
      </c>
      <c r="K1242" s="404"/>
      <c r="L1242" s="120">
        <f t="shared" si="385"/>
        <v>6</v>
      </c>
      <c r="M1242" s="120">
        <f>H1242*I1242</f>
        <v>705.59999999999991</v>
      </c>
      <c r="N1242" s="120">
        <f>H1242*J1242</f>
        <v>705.59999999999991</v>
      </c>
      <c r="O1242" s="404">
        <f>K1242*H1242</f>
        <v>0</v>
      </c>
      <c r="P1242" s="127">
        <f>H1242*L1242</f>
        <v>705.59999999999991</v>
      </c>
    </row>
    <row r="1243" spans="1:16" ht="15.75">
      <c r="A1243" s="260"/>
      <c r="B1243" s="155"/>
      <c r="C1243" s="156"/>
      <c r="D1243" s="159"/>
      <c r="E1243" s="159"/>
      <c r="F1243" s="143"/>
      <c r="G1243" s="157"/>
      <c r="H1243" s="158"/>
      <c r="I1243" s="419"/>
      <c r="J1243" s="158"/>
      <c r="K1243" s="406"/>
      <c r="L1243" s="120">
        <f t="shared" si="385"/>
        <v>0</v>
      </c>
      <c r="M1243" s="120">
        <f t="shared" ref="M1243:M1265" si="390">H1243*I1243</f>
        <v>0</v>
      </c>
      <c r="N1243" s="120">
        <f t="shared" ref="N1243:N1265" si="391">H1243*J1243</f>
        <v>0</v>
      </c>
      <c r="O1243" s="404">
        <f t="shared" ref="O1243:O1265" si="392">K1243*H1243</f>
        <v>0</v>
      </c>
      <c r="P1243" s="127">
        <f t="shared" ref="P1243:P1265" si="393">H1243*L1243</f>
        <v>0</v>
      </c>
    </row>
    <row r="1244" spans="1:16" ht="15.75">
      <c r="A1244" s="260"/>
      <c r="B1244" s="155" t="s">
        <v>291</v>
      </c>
      <c r="C1244" s="142" t="s">
        <v>1089</v>
      </c>
      <c r="D1244" s="159"/>
      <c r="E1244" s="159"/>
      <c r="F1244" s="143"/>
      <c r="G1244" s="157"/>
      <c r="H1244" s="158"/>
      <c r="I1244" s="419"/>
      <c r="J1244" s="158"/>
      <c r="K1244" s="406"/>
      <c r="L1244" s="120">
        <f t="shared" si="385"/>
        <v>0</v>
      </c>
      <c r="M1244" s="120">
        <f t="shared" si="390"/>
        <v>0</v>
      </c>
      <c r="N1244" s="120">
        <f t="shared" si="391"/>
        <v>0</v>
      </c>
      <c r="O1244" s="404">
        <f t="shared" si="392"/>
        <v>0</v>
      </c>
      <c r="P1244" s="127">
        <f t="shared" si="393"/>
        <v>0</v>
      </c>
    </row>
    <row r="1245" spans="1:16" ht="15.75">
      <c r="A1245" s="260"/>
      <c r="B1245" s="155"/>
      <c r="C1245" s="156" t="s">
        <v>1090</v>
      </c>
      <c r="D1245" s="159"/>
      <c r="E1245" s="159"/>
      <c r="F1245" s="143"/>
      <c r="G1245" s="157" t="s">
        <v>190</v>
      </c>
      <c r="H1245" s="158">
        <v>33.08</v>
      </c>
      <c r="I1245" s="419">
        <v>8</v>
      </c>
      <c r="J1245" s="158">
        <v>8</v>
      </c>
      <c r="K1245" s="406">
        <v>0</v>
      </c>
      <c r="L1245" s="120">
        <f t="shared" si="385"/>
        <v>8</v>
      </c>
      <c r="M1245" s="120">
        <f t="shared" si="390"/>
        <v>264.64</v>
      </c>
      <c r="N1245" s="120">
        <f t="shared" si="391"/>
        <v>264.64</v>
      </c>
      <c r="O1245" s="404">
        <f t="shared" si="392"/>
        <v>0</v>
      </c>
      <c r="P1245" s="127">
        <f t="shared" si="393"/>
        <v>264.64</v>
      </c>
    </row>
    <row r="1246" spans="1:16" ht="15.75">
      <c r="A1246" s="260"/>
      <c r="B1246" s="155"/>
      <c r="C1246" s="156" t="s">
        <v>1091</v>
      </c>
      <c r="D1246" s="159"/>
      <c r="E1246" s="159"/>
      <c r="F1246" s="143"/>
      <c r="G1246" s="157" t="s">
        <v>190</v>
      </c>
      <c r="H1246" s="158">
        <v>37.799999999999997</v>
      </c>
      <c r="I1246" s="419">
        <v>2</v>
      </c>
      <c r="J1246" s="158">
        <v>2</v>
      </c>
      <c r="K1246" s="406">
        <v>0</v>
      </c>
      <c r="L1246" s="120">
        <f t="shared" si="385"/>
        <v>2</v>
      </c>
      <c r="M1246" s="120">
        <f t="shared" si="390"/>
        <v>75.599999999999994</v>
      </c>
      <c r="N1246" s="120">
        <f t="shared" si="391"/>
        <v>75.599999999999994</v>
      </c>
      <c r="O1246" s="404">
        <f t="shared" si="392"/>
        <v>0</v>
      </c>
      <c r="P1246" s="127">
        <f t="shared" si="393"/>
        <v>75.599999999999994</v>
      </c>
    </row>
    <row r="1247" spans="1:16" ht="15.75">
      <c r="A1247" s="260"/>
      <c r="B1247" s="155"/>
      <c r="C1247" s="156" t="s">
        <v>1092</v>
      </c>
      <c r="D1247" s="159"/>
      <c r="E1247" s="159"/>
      <c r="F1247" s="143"/>
      <c r="G1247" s="157" t="s">
        <v>190</v>
      </c>
      <c r="H1247" s="158">
        <v>59.85</v>
      </c>
      <c r="I1247" s="419">
        <v>6</v>
      </c>
      <c r="J1247" s="158">
        <v>6</v>
      </c>
      <c r="K1247" s="406">
        <v>0</v>
      </c>
      <c r="L1247" s="120">
        <f t="shared" si="385"/>
        <v>6</v>
      </c>
      <c r="M1247" s="120">
        <f t="shared" si="390"/>
        <v>359.1</v>
      </c>
      <c r="N1247" s="120">
        <f t="shared" si="391"/>
        <v>359.1</v>
      </c>
      <c r="O1247" s="404">
        <f t="shared" si="392"/>
        <v>0</v>
      </c>
      <c r="P1247" s="127">
        <f t="shared" si="393"/>
        <v>359.1</v>
      </c>
    </row>
    <row r="1248" spans="1:16" ht="15.75">
      <c r="A1248" s="260"/>
      <c r="B1248" s="155"/>
      <c r="C1248" s="156" t="s">
        <v>1093</v>
      </c>
      <c r="D1248" s="159"/>
      <c r="E1248" s="159"/>
      <c r="F1248" s="143"/>
      <c r="G1248" s="157" t="s">
        <v>190</v>
      </c>
      <c r="H1248" s="158">
        <v>162.75</v>
      </c>
      <c r="I1248" s="419">
        <v>12</v>
      </c>
      <c r="J1248" s="158">
        <v>12</v>
      </c>
      <c r="K1248" s="406">
        <v>0</v>
      </c>
      <c r="L1248" s="120">
        <f t="shared" si="385"/>
        <v>12</v>
      </c>
      <c r="M1248" s="120">
        <f t="shared" si="390"/>
        <v>1953</v>
      </c>
      <c r="N1248" s="120">
        <f t="shared" si="391"/>
        <v>1953</v>
      </c>
      <c r="O1248" s="404">
        <f t="shared" si="392"/>
        <v>0</v>
      </c>
      <c r="P1248" s="127">
        <f t="shared" si="393"/>
        <v>1953</v>
      </c>
    </row>
    <row r="1249" spans="1:16" ht="15.75">
      <c r="A1249" s="260"/>
      <c r="B1249" s="155"/>
      <c r="C1249" s="156" t="s">
        <v>1094</v>
      </c>
      <c r="D1249" s="159"/>
      <c r="E1249" s="159"/>
      <c r="F1249" s="143"/>
      <c r="G1249" s="157" t="s">
        <v>190</v>
      </c>
      <c r="H1249" s="158">
        <v>286.64999999999998</v>
      </c>
      <c r="I1249" s="419">
        <v>5</v>
      </c>
      <c r="J1249" s="158">
        <v>5</v>
      </c>
      <c r="K1249" s="406">
        <v>0</v>
      </c>
      <c r="L1249" s="120">
        <f t="shared" si="385"/>
        <v>5</v>
      </c>
      <c r="M1249" s="120">
        <f t="shared" si="390"/>
        <v>1433.25</v>
      </c>
      <c r="N1249" s="120">
        <f t="shared" si="391"/>
        <v>1433.25</v>
      </c>
      <c r="O1249" s="404">
        <f t="shared" si="392"/>
        <v>0</v>
      </c>
      <c r="P1249" s="127">
        <f t="shared" si="393"/>
        <v>1433.25</v>
      </c>
    </row>
    <row r="1250" spans="1:16" ht="15.75">
      <c r="A1250" s="260"/>
      <c r="B1250" s="155"/>
      <c r="C1250" s="156" t="s">
        <v>1095</v>
      </c>
      <c r="D1250" s="159"/>
      <c r="E1250" s="159"/>
      <c r="F1250" s="143"/>
      <c r="G1250" s="157" t="s">
        <v>190</v>
      </c>
      <c r="H1250" s="158">
        <v>711.38</v>
      </c>
      <c r="I1250" s="419">
        <v>9</v>
      </c>
      <c r="J1250" s="158">
        <v>9</v>
      </c>
      <c r="K1250" s="406">
        <v>0</v>
      </c>
      <c r="L1250" s="120">
        <f t="shared" si="385"/>
        <v>9</v>
      </c>
      <c r="M1250" s="120">
        <f t="shared" si="390"/>
        <v>6402.42</v>
      </c>
      <c r="N1250" s="120">
        <f t="shared" si="391"/>
        <v>6402.42</v>
      </c>
      <c r="O1250" s="404">
        <f t="shared" si="392"/>
        <v>0</v>
      </c>
      <c r="P1250" s="127">
        <f t="shared" si="393"/>
        <v>6402.42</v>
      </c>
    </row>
    <row r="1251" spans="1:16" ht="15.75">
      <c r="A1251" s="260"/>
      <c r="B1251" s="155"/>
      <c r="C1251" s="156" t="s">
        <v>1096</v>
      </c>
      <c r="D1251" s="159"/>
      <c r="E1251" s="159"/>
      <c r="F1251" s="143"/>
      <c r="G1251" s="157" t="s">
        <v>190</v>
      </c>
      <c r="H1251" s="158">
        <v>1388.63</v>
      </c>
      <c r="I1251" s="419">
        <v>1</v>
      </c>
      <c r="J1251" s="158">
        <v>1</v>
      </c>
      <c r="K1251" s="406">
        <v>0</v>
      </c>
      <c r="L1251" s="120">
        <f t="shared" si="385"/>
        <v>1</v>
      </c>
      <c r="M1251" s="120">
        <f t="shared" si="390"/>
        <v>1388.63</v>
      </c>
      <c r="N1251" s="120">
        <f t="shared" si="391"/>
        <v>1388.63</v>
      </c>
      <c r="O1251" s="404">
        <f t="shared" si="392"/>
        <v>0</v>
      </c>
      <c r="P1251" s="127">
        <f t="shared" si="393"/>
        <v>1388.63</v>
      </c>
    </row>
    <row r="1252" spans="1:16" ht="15.75">
      <c r="A1252" s="260"/>
      <c r="B1252" s="155"/>
      <c r="C1252" s="156" t="s">
        <v>1097</v>
      </c>
      <c r="D1252" s="159"/>
      <c r="E1252" s="159"/>
      <c r="F1252" s="143"/>
      <c r="G1252" s="157" t="s">
        <v>190</v>
      </c>
      <c r="H1252" s="158">
        <v>1890</v>
      </c>
      <c r="I1252" s="419">
        <v>4</v>
      </c>
      <c r="J1252" s="158">
        <v>4</v>
      </c>
      <c r="K1252" s="406">
        <v>0</v>
      </c>
      <c r="L1252" s="120">
        <f t="shared" si="385"/>
        <v>4</v>
      </c>
      <c r="M1252" s="120">
        <f t="shared" si="390"/>
        <v>7560</v>
      </c>
      <c r="N1252" s="120">
        <f t="shared" si="391"/>
        <v>7560</v>
      </c>
      <c r="O1252" s="404">
        <f t="shared" si="392"/>
        <v>0</v>
      </c>
      <c r="P1252" s="127">
        <f t="shared" si="393"/>
        <v>7560</v>
      </c>
    </row>
    <row r="1253" spans="1:16" ht="15.75">
      <c r="A1253" s="260"/>
      <c r="B1253" s="155"/>
      <c r="C1253" s="156" t="s">
        <v>1098</v>
      </c>
      <c r="D1253" s="159"/>
      <c r="E1253" s="159"/>
      <c r="F1253" s="143"/>
      <c r="G1253" s="157" t="s">
        <v>190</v>
      </c>
      <c r="H1253" s="158">
        <v>2362.5</v>
      </c>
      <c r="I1253" s="419">
        <v>2</v>
      </c>
      <c r="J1253" s="158">
        <v>2</v>
      </c>
      <c r="K1253" s="406">
        <v>0</v>
      </c>
      <c r="L1253" s="120">
        <f t="shared" si="385"/>
        <v>2</v>
      </c>
      <c r="M1253" s="120">
        <f t="shared" si="390"/>
        <v>4725</v>
      </c>
      <c r="N1253" s="120">
        <f t="shared" si="391"/>
        <v>4725</v>
      </c>
      <c r="O1253" s="404">
        <f t="shared" si="392"/>
        <v>0</v>
      </c>
      <c r="P1253" s="127">
        <f t="shared" si="393"/>
        <v>4725</v>
      </c>
    </row>
    <row r="1254" spans="1:16" ht="15.75">
      <c r="A1254" s="260"/>
      <c r="B1254" s="155"/>
      <c r="C1254" s="156" t="s">
        <v>1099</v>
      </c>
      <c r="D1254" s="159"/>
      <c r="E1254" s="159"/>
      <c r="F1254" s="143"/>
      <c r="G1254" s="157" t="s">
        <v>190</v>
      </c>
      <c r="H1254" s="158">
        <v>3307.5</v>
      </c>
      <c r="I1254" s="419">
        <v>1</v>
      </c>
      <c r="J1254" s="158">
        <v>1</v>
      </c>
      <c r="K1254" s="406">
        <v>0</v>
      </c>
      <c r="L1254" s="120">
        <f t="shared" si="385"/>
        <v>1</v>
      </c>
      <c r="M1254" s="120">
        <f t="shared" si="390"/>
        <v>3307.5</v>
      </c>
      <c r="N1254" s="120">
        <f t="shared" si="391"/>
        <v>3307.5</v>
      </c>
      <c r="O1254" s="404">
        <f t="shared" si="392"/>
        <v>0</v>
      </c>
      <c r="P1254" s="127">
        <f t="shared" si="393"/>
        <v>3307.5</v>
      </c>
    </row>
    <row r="1255" spans="1:16" ht="15.75">
      <c r="A1255" s="260"/>
      <c r="B1255" s="155"/>
      <c r="C1255" s="156" t="s">
        <v>1100</v>
      </c>
      <c r="D1255" s="159"/>
      <c r="E1255" s="159"/>
      <c r="F1255" s="143"/>
      <c r="G1255" s="157" t="s">
        <v>190</v>
      </c>
      <c r="H1255" s="158">
        <v>378</v>
      </c>
      <c r="I1255" s="419">
        <v>2</v>
      </c>
      <c r="J1255" s="158">
        <v>2</v>
      </c>
      <c r="K1255" s="406">
        <v>0</v>
      </c>
      <c r="L1255" s="120">
        <f t="shared" si="385"/>
        <v>2</v>
      </c>
      <c r="M1255" s="120">
        <f t="shared" si="390"/>
        <v>756</v>
      </c>
      <c r="N1255" s="120">
        <f t="shared" si="391"/>
        <v>756</v>
      </c>
      <c r="O1255" s="404">
        <f t="shared" si="392"/>
        <v>0</v>
      </c>
      <c r="P1255" s="127">
        <f t="shared" si="393"/>
        <v>756</v>
      </c>
    </row>
    <row r="1256" spans="1:16" ht="15.75">
      <c r="A1256" s="260"/>
      <c r="B1256" s="155"/>
      <c r="C1256" s="156" t="s">
        <v>1106</v>
      </c>
      <c r="D1256" s="159"/>
      <c r="E1256" s="159"/>
      <c r="F1256" s="143"/>
      <c r="G1256" s="157" t="s">
        <v>190</v>
      </c>
      <c r="H1256" s="158">
        <v>330.75</v>
      </c>
      <c r="I1256" s="419">
        <v>2</v>
      </c>
      <c r="J1256" s="158">
        <v>2</v>
      </c>
      <c r="K1256" s="406">
        <v>0</v>
      </c>
      <c r="L1256" s="120">
        <f t="shared" si="385"/>
        <v>2</v>
      </c>
      <c r="M1256" s="120">
        <f t="shared" si="390"/>
        <v>661.5</v>
      </c>
      <c r="N1256" s="120">
        <f t="shared" si="391"/>
        <v>661.5</v>
      </c>
      <c r="O1256" s="404">
        <f t="shared" si="392"/>
        <v>0</v>
      </c>
      <c r="P1256" s="127">
        <f t="shared" si="393"/>
        <v>661.5</v>
      </c>
    </row>
    <row r="1257" spans="1:16" ht="15.75">
      <c r="A1257" s="260"/>
      <c r="B1257" s="155"/>
      <c r="C1257" s="156"/>
      <c r="D1257" s="159"/>
      <c r="E1257" s="159"/>
      <c r="F1257" s="143"/>
      <c r="G1257" s="157"/>
      <c r="H1257" s="158"/>
      <c r="I1257" s="419"/>
      <c r="J1257" s="158"/>
      <c r="K1257" s="406"/>
      <c r="L1257" s="120"/>
      <c r="M1257" s="120"/>
      <c r="N1257" s="120"/>
      <c r="O1257" s="404"/>
      <c r="P1257" s="127"/>
    </row>
    <row r="1258" spans="1:16" ht="15.75">
      <c r="A1258" s="260"/>
      <c r="B1258" s="155" t="s">
        <v>293</v>
      </c>
      <c r="C1258" s="156" t="s">
        <v>1101</v>
      </c>
      <c r="D1258" s="159"/>
      <c r="E1258" s="159"/>
      <c r="F1258" s="143"/>
      <c r="G1258" s="157"/>
      <c r="H1258" s="158"/>
      <c r="I1258" s="419"/>
      <c r="J1258" s="158"/>
      <c r="K1258" s="406"/>
      <c r="L1258" s="120">
        <f t="shared" si="385"/>
        <v>0</v>
      </c>
      <c r="M1258" s="120">
        <f t="shared" si="390"/>
        <v>0</v>
      </c>
      <c r="N1258" s="120">
        <f t="shared" si="391"/>
        <v>0</v>
      </c>
      <c r="O1258" s="404">
        <f t="shared" si="392"/>
        <v>0</v>
      </c>
      <c r="P1258" s="127">
        <f t="shared" si="393"/>
        <v>0</v>
      </c>
    </row>
    <row r="1259" spans="1:16" ht="15.75">
      <c r="A1259" s="260"/>
      <c r="B1259" s="155"/>
      <c r="C1259" s="156" t="s">
        <v>1102</v>
      </c>
      <c r="D1259" s="159"/>
      <c r="E1259" s="159"/>
      <c r="F1259" s="143"/>
      <c r="G1259" s="157" t="s">
        <v>190</v>
      </c>
      <c r="H1259" s="158">
        <v>5520</v>
      </c>
      <c r="I1259" s="419">
        <v>3</v>
      </c>
      <c r="J1259" s="158">
        <v>2</v>
      </c>
      <c r="K1259" s="406">
        <v>0</v>
      </c>
      <c r="L1259" s="120">
        <f t="shared" si="385"/>
        <v>2</v>
      </c>
      <c r="M1259" s="120">
        <f t="shared" si="390"/>
        <v>16560</v>
      </c>
      <c r="N1259" s="120">
        <f t="shared" si="391"/>
        <v>11040</v>
      </c>
      <c r="O1259" s="404">
        <f t="shared" si="392"/>
        <v>0</v>
      </c>
      <c r="P1259" s="127">
        <f t="shared" si="393"/>
        <v>11040</v>
      </c>
    </row>
    <row r="1260" spans="1:16" ht="15.75">
      <c r="A1260" s="260"/>
      <c r="B1260" s="155"/>
      <c r="C1260" s="156" t="s">
        <v>1103</v>
      </c>
      <c r="D1260" s="159"/>
      <c r="E1260" s="159"/>
      <c r="F1260" s="143"/>
      <c r="G1260" s="157" t="s">
        <v>190</v>
      </c>
      <c r="H1260" s="158">
        <v>4025</v>
      </c>
      <c r="I1260" s="419">
        <v>3</v>
      </c>
      <c r="J1260" s="158">
        <v>2</v>
      </c>
      <c r="K1260" s="406">
        <v>0</v>
      </c>
      <c r="L1260" s="120">
        <f t="shared" si="385"/>
        <v>2</v>
      </c>
      <c r="M1260" s="120">
        <f t="shared" si="390"/>
        <v>12075</v>
      </c>
      <c r="N1260" s="120">
        <f t="shared" si="391"/>
        <v>8050</v>
      </c>
      <c r="O1260" s="404">
        <f t="shared" si="392"/>
        <v>0</v>
      </c>
      <c r="P1260" s="127">
        <f t="shared" si="393"/>
        <v>8050</v>
      </c>
    </row>
    <row r="1261" spans="1:16" ht="15.75">
      <c r="A1261" s="260"/>
      <c r="B1261" s="155"/>
      <c r="C1261" s="156" t="s">
        <v>1104</v>
      </c>
      <c r="D1261" s="159"/>
      <c r="E1261" s="159"/>
      <c r="F1261" s="143"/>
      <c r="G1261" s="157" t="s">
        <v>190</v>
      </c>
      <c r="H1261" s="158">
        <v>4025</v>
      </c>
      <c r="I1261" s="419">
        <v>3</v>
      </c>
      <c r="J1261" s="158">
        <v>2</v>
      </c>
      <c r="K1261" s="406">
        <v>0</v>
      </c>
      <c r="L1261" s="120">
        <f t="shared" si="385"/>
        <v>2</v>
      </c>
      <c r="M1261" s="120">
        <f t="shared" si="390"/>
        <v>12075</v>
      </c>
      <c r="N1261" s="120">
        <f t="shared" si="391"/>
        <v>8050</v>
      </c>
      <c r="O1261" s="404">
        <f t="shared" si="392"/>
        <v>0</v>
      </c>
      <c r="P1261" s="127">
        <f t="shared" si="393"/>
        <v>8050</v>
      </c>
    </row>
    <row r="1262" spans="1:16" ht="15.75">
      <c r="A1262" s="260"/>
      <c r="B1262" s="155"/>
      <c r="C1262" s="156" t="s">
        <v>1105</v>
      </c>
      <c r="D1262" s="159"/>
      <c r="E1262" s="159"/>
      <c r="F1262" s="143"/>
      <c r="G1262" s="157" t="s">
        <v>190</v>
      </c>
      <c r="H1262" s="158">
        <v>4025</v>
      </c>
      <c r="I1262" s="419">
        <v>3</v>
      </c>
      <c r="J1262" s="158">
        <v>2</v>
      </c>
      <c r="K1262" s="406">
        <v>0</v>
      </c>
      <c r="L1262" s="120">
        <f t="shared" si="385"/>
        <v>2</v>
      </c>
      <c r="M1262" s="120">
        <f t="shared" si="390"/>
        <v>12075</v>
      </c>
      <c r="N1262" s="120">
        <f t="shared" si="391"/>
        <v>8050</v>
      </c>
      <c r="O1262" s="404">
        <f t="shared" si="392"/>
        <v>0</v>
      </c>
      <c r="P1262" s="127">
        <f t="shared" si="393"/>
        <v>8050</v>
      </c>
    </row>
    <row r="1263" spans="1:16" ht="15.75">
      <c r="A1263" s="260"/>
      <c r="B1263" s="155"/>
      <c r="C1263" s="156"/>
      <c r="D1263" s="159"/>
      <c r="E1263" s="159"/>
      <c r="F1263" s="143"/>
      <c r="G1263" s="157"/>
      <c r="H1263" s="158"/>
      <c r="I1263" s="419"/>
      <c r="J1263" s="158"/>
      <c r="K1263" s="406"/>
      <c r="L1263" s="120">
        <f t="shared" si="385"/>
        <v>0</v>
      </c>
      <c r="M1263" s="120">
        <f t="shared" si="390"/>
        <v>0</v>
      </c>
      <c r="N1263" s="120">
        <f t="shared" si="391"/>
        <v>0</v>
      </c>
      <c r="O1263" s="404">
        <f t="shared" si="392"/>
        <v>0</v>
      </c>
      <c r="P1263" s="127">
        <f t="shared" si="393"/>
        <v>0</v>
      </c>
    </row>
    <row r="1264" spans="1:16" ht="15.75">
      <c r="A1264" s="260"/>
      <c r="B1264" s="155" t="s">
        <v>292</v>
      </c>
      <c r="C1264" s="380" t="s">
        <v>683</v>
      </c>
      <c r="D1264" s="381"/>
      <c r="E1264" s="381"/>
      <c r="F1264" s="382"/>
      <c r="G1264" s="157"/>
      <c r="H1264" s="158"/>
      <c r="I1264" s="419"/>
      <c r="J1264" s="158"/>
      <c r="K1264" s="406"/>
      <c r="L1264" s="120">
        <f t="shared" si="385"/>
        <v>0</v>
      </c>
      <c r="M1264" s="120">
        <f t="shared" si="390"/>
        <v>0</v>
      </c>
      <c r="N1264" s="120">
        <f t="shared" si="391"/>
        <v>0</v>
      </c>
      <c r="O1264" s="404">
        <f t="shared" si="392"/>
        <v>0</v>
      </c>
      <c r="P1264" s="127">
        <f t="shared" si="393"/>
        <v>0</v>
      </c>
    </row>
    <row r="1265" spans="1:16" ht="53.25" customHeight="1">
      <c r="A1265" s="260"/>
      <c r="B1265" s="155"/>
      <c r="C1265" s="1358" t="s">
        <v>679</v>
      </c>
      <c r="D1265" s="1359"/>
      <c r="E1265" s="1359"/>
      <c r="F1265" s="1360"/>
      <c r="G1265" s="157"/>
      <c r="H1265" s="158"/>
      <c r="I1265" s="419"/>
      <c r="J1265" s="158"/>
      <c r="K1265" s="406"/>
      <c r="L1265" s="120">
        <f t="shared" si="385"/>
        <v>0</v>
      </c>
      <c r="M1265" s="120">
        <f t="shared" si="390"/>
        <v>0</v>
      </c>
      <c r="N1265" s="120">
        <f t="shared" si="391"/>
        <v>0</v>
      </c>
      <c r="O1265" s="404">
        <f t="shared" si="392"/>
        <v>0</v>
      </c>
      <c r="P1265" s="127">
        <f t="shared" si="393"/>
        <v>0</v>
      </c>
    </row>
    <row r="1266" spans="1:16" ht="15.75">
      <c r="A1266" s="260"/>
      <c r="B1266" s="155"/>
      <c r="C1266" s="400" t="s">
        <v>680</v>
      </c>
      <c r="D1266" s="378"/>
      <c r="E1266" s="378"/>
      <c r="F1266" s="379"/>
      <c r="G1266" s="157" t="s">
        <v>190</v>
      </c>
      <c r="H1266" s="158">
        <v>7416</v>
      </c>
      <c r="I1266" s="419">
        <v>18</v>
      </c>
      <c r="J1266" s="158">
        <v>22</v>
      </c>
      <c r="K1266" s="406">
        <v>0</v>
      </c>
      <c r="L1266" s="120">
        <f t="shared" ref="L1266:L1270" si="394">K1266+J1266</f>
        <v>22</v>
      </c>
      <c r="M1266" s="120">
        <f t="shared" ref="M1266:M1270" si="395">H1266*I1266</f>
        <v>133488</v>
      </c>
      <c r="N1266" s="120">
        <f t="shared" ref="N1266:N1270" si="396">H1266*J1266</f>
        <v>163152</v>
      </c>
      <c r="O1266" s="404">
        <f t="shared" ref="O1266:O1270" si="397">K1266*H1266</f>
        <v>0</v>
      </c>
      <c r="P1266" s="127">
        <f t="shared" ref="P1266:P1270" si="398">H1266*L1266</f>
        <v>163152</v>
      </c>
    </row>
    <row r="1267" spans="1:16" ht="50.25" customHeight="1">
      <c r="A1267" s="260"/>
      <c r="B1267" s="155"/>
      <c r="C1267" s="1358" t="s">
        <v>681</v>
      </c>
      <c r="D1267" s="1359"/>
      <c r="E1267" s="1359"/>
      <c r="F1267" s="1360"/>
      <c r="G1267" s="157"/>
      <c r="H1267" s="158"/>
      <c r="I1267" s="419"/>
      <c r="J1267" s="158"/>
      <c r="K1267" s="406"/>
      <c r="L1267" s="120">
        <f t="shared" si="394"/>
        <v>0</v>
      </c>
      <c r="M1267" s="120">
        <f t="shared" si="395"/>
        <v>0</v>
      </c>
      <c r="N1267" s="120">
        <f t="shared" si="396"/>
        <v>0</v>
      </c>
      <c r="O1267" s="404">
        <f t="shared" si="397"/>
        <v>0</v>
      </c>
      <c r="P1267" s="127">
        <f t="shared" si="398"/>
        <v>0</v>
      </c>
    </row>
    <row r="1268" spans="1:16" ht="15.75">
      <c r="A1268" s="260"/>
      <c r="B1268" s="155"/>
      <c r="C1268" s="400" t="s">
        <v>680</v>
      </c>
      <c r="D1268" s="378"/>
      <c r="E1268" s="384"/>
      <c r="F1268" s="385"/>
      <c r="G1268" s="157" t="s">
        <v>492</v>
      </c>
      <c r="H1268" s="158">
        <v>7848</v>
      </c>
      <c r="I1268" s="419">
        <v>2</v>
      </c>
      <c r="J1268" s="158"/>
      <c r="K1268" s="406"/>
      <c r="L1268" s="120">
        <f t="shared" si="394"/>
        <v>0</v>
      </c>
      <c r="M1268" s="120">
        <f t="shared" si="395"/>
        <v>15696</v>
      </c>
      <c r="N1268" s="120">
        <f t="shared" si="396"/>
        <v>0</v>
      </c>
      <c r="O1268" s="404">
        <f t="shared" si="397"/>
        <v>0</v>
      </c>
      <c r="P1268" s="127">
        <f t="shared" si="398"/>
        <v>0</v>
      </c>
    </row>
    <row r="1269" spans="1:16" ht="48" customHeight="1">
      <c r="A1269" s="260"/>
      <c r="B1269" s="155"/>
      <c r="C1269" s="1358" t="s">
        <v>682</v>
      </c>
      <c r="D1269" s="1359"/>
      <c r="E1269" s="1359"/>
      <c r="F1269" s="1360"/>
      <c r="G1269" s="157"/>
      <c r="H1269" s="157"/>
      <c r="I1269" s="419"/>
      <c r="J1269" s="158"/>
      <c r="K1269" s="406"/>
      <c r="L1269" s="120">
        <f t="shared" si="394"/>
        <v>0</v>
      </c>
      <c r="M1269" s="120">
        <f t="shared" si="395"/>
        <v>0</v>
      </c>
      <c r="N1269" s="120">
        <f t="shared" si="396"/>
        <v>0</v>
      </c>
      <c r="O1269" s="404">
        <f t="shared" si="397"/>
        <v>0</v>
      </c>
      <c r="P1269" s="127">
        <f t="shared" si="398"/>
        <v>0</v>
      </c>
    </row>
    <row r="1270" spans="1:16" ht="16.5" thickBot="1">
      <c r="A1270" s="260"/>
      <c r="B1270" s="155"/>
      <c r="C1270" s="377" t="s">
        <v>680</v>
      </c>
      <c r="D1270" s="378"/>
      <c r="E1270" s="378"/>
      <c r="F1270" s="379"/>
      <c r="G1270" s="157" t="s">
        <v>190</v>
      </c>
      <c r="H1270" s="158">
        <v>8280</v>
      </c>
      <c r="I1270" s="419">
        <v>2</v>
      </c>
      <c r="J1270" s="158"/>
      <c r="K1270" s="406"/>
      <c r="L1270" s="120">
        <f t="shared" si="394"/>
        <v>0</v>
      </c>
      <c r="M1270" s="120">
        <f t="shared" si="395"/>
        <v>16560</v>
      </c>
      <c r="N1270" s="120">
        <f t="shared" si="396"/>
        <v>0</v>
      </c>
      <c r="O1270" s="404">
        <f t="shared" si="397"/>
        <v>0</v>
      </c>
      <c r="P1270" s="127">
        <f t="shared" si="398"/>
        <v>0</v>
      </c>
    </row>
    <row r="1271" spans="1:16" ht="17.25" thickTop="1" thickBot="1">
      <c r="A1271" s="260"/>
      <c r="B1271" s="276"/>
      <c r="C1271" s="277" t="s">
        <v>312</v>
      </c>
      <c r="D1271" s="278"/>
      <c r="E1271" s="278"/>
      <c r="F1271" s="278"/>
      <c r="G1271" s="280"/>
      <c r="H1271" s="281"/>
      <c r="I1271" s="420"/>
      <c r="J1271" s="281"/>
      <c r="K1271" s="407"/>
      <c r="L1271" s="259"/>
      <c r="M1271" s="259">
        <f>SUM(M1197:M1270)</f>
        <v>840862.97</v>
      </c>
      <c r="N1271" s="259">
        <f>SUM(N1197:N1270)</f>
        <v>1099671.2294999999</v>
      </c>
      <c r="O1271" s="407">
        <f>SUM(O1197:O1270)</f>
        <v>0</v>
      </c>
      <c r="P1271" s="525">
        <f>SUM(P1197:P1270)</f>
        <v>1099671.2294999999</v>
      </c>
    </row>
    <row r="1272" spans="1:16" ht="16.5" thickTop="1">
      <c r="A1272" s="260"/>
      <c r="B1272" s="271"/>
      <c r="C1272" s="261"/>
      <c r="D1272" s="262"/>
      <c r="E1272" s="262"/>
      <c r="F1272" s="263"/>
      <c r="G1272" s="264"/>
      <c r="H1272" s="246"/>
      <c r="I1272" s="416"/>
      <c r="J1272" s="246"/>
      <c r="K1272" s="403"/>
      <c r="L1272" s="246"/>
      <c r="M1272" s="246"/>
      <c r="N1272" s="246"/>
      <c r="O1272" s="403"/>
      <c r="P1272" s="272"/>
    </row>
    <row r="1273" spans="1:16" ht="18">
      <c r="A1273" s="260"/>
      <c r="B1273" s="151">
        <v>2.2999999999999998</v>
      </c>
      <c r="C1273" s="148" t="s">
        <v>430</v>
      </c>
      <c r="D1273" s="149"/>
      <c r="E1273" s="129"/>
      <c r="F1273" s="130"/>
      <c r="G1273" s="134"/>
      <c r="H1273" s="120"/>
      <c r="I1273" s="417"/>
      <c r="J1273" s="120"/>
      <c r="K1273" s="404"/>
      <c r="L1273" s="120"/>
      <c r="M1273" s="120"/>
      <c r="N1273" s="120"/>
      <c r="O1273" s="404"/>
      <c r="P1273" s="127"/>
    </row>
    <row r="1274" spans="1:16" ht="15.75">
      <c r="A1274" s="260"/>
      <c r="B1274" s="147"/>
      <c r="C1274" s="132"/>
      <c r="D1274" s="129"/>
      <c r="E1274" s="129"/>
      <c r="F1274" s="130"/>
      <c r="G1274" s="134"/>
      <c r="H1274" s="120"/>
      <c r="I1274" s="417"/>
      <c r="J1274" s="120"/>
      <c r="K1274" s="404"/>
      <c r="L1274" s="120"/>
      <c r="M1274" s="120"/>
      <c r="N1274" s="120"/>
      <c r="O1274" s="404"/>
      <c r="P1274" s="127"/>
    </row>
    <row r="1275" spans="1:16" ht="15.75">
      <c r="A1275" s="260"/>
      <c r="B1275" s="118"/>
      <c r="C1275" s="128" t="s">
        <v>115</v>
      </c>
      <c r="D1275" s="133"/>
      <c r="E1275" s="133"/>
      <c r="F1275" s="141"/>
      <c r="G1275" s="221"/>
      <c r="H1275" s="136"/>
      <c r="I1275" s="417"/>
      <c r="J1275" s="120"/>
      <c r="K1275" s="404"/>
      <c r="L1275" s="120"/>
      <c r="M1275" s="120"/>
      <c r="N1275" s="120"/>
      <c r="O1275" s="404"/>
      <c r="P1275" s="127"/>
    </row>
    <row r="1276" spans="1:16" ht="15.75">
      <c r="A1276" s="260"/>
      <c r="B1276" s="118"/>
      <c r="C1276" s="132"/>
      <c r="D1276" s="129"/>
      <c r="E1276" s="129"/>
      <c r="F1276" s="130"/>
      <c r="G1276" s="134"/>
      <c r="H1276" s="120"/>
      <c r="I1276" s="417"/>
      <c r="J1276" s="120"/>
      <c r="K1276" s="404"/>
      <c r="L1276" s="120"/>
      <c r="M1276" s="120"/>
      <c r="N1276" s="120"/>
      <c r="O1276" s="404"/>
      <c r="P1276" s="127"/>
    </row>
    <row r="1277" spans="1:16" ht="15.75">
      <c r="A1277" s="260"/>
      <c r="B1277" s="118"/>
      <c r="C1277" s="128" t="s">
        <v>438</v>
      </c>
      <c r="D1277" s="133"/>
      <c r="E1277" s="133"/>
      <c r="F1277" s="141"/>
      <c r="G1277" s="221"/>
      <c r="H1277" s="136"/>
      <c r="I1277" s="417"/>
      <c r="J1277" s="120"/>
      <c r="K1277" s="404"/>
      <c r="L1277" s="120"/>
      <c r="M1277" s="120"/>
      <c r="N1277" s="120"/>
      <c r="O1277" s="404"/>
      <c r="P1277" s="127"/>
    </row>
    <row r="1278" spans="1:16" ht="15.75">
      <c r="A1278" s="260"/>
      <c r="B1278" s="118"/>
      <c r="C1278" s="132"/>
      <c r="D1278" s="129"/>
      <c r="E1278" s="129"/>
      <c r="F1278" s="130"/>
      <c r="G1278" s="134"/>
      <c r="H1278" s="120"/>
      <c r="I1278" s="417"/>
      <c r="J1278" s="120"/>
      <c r="K1278" s="404"/>
      <c r="L1278" s="120"/>
      <c r="M1278" s="120"/>
      <c r="N1278" s="120"/>
      <c r="O1278" s="404"/>
      <c r="P1278" s="127"/>
    </row>
    <row r="1279" spans="1:16" ht="18">
      <c r="A1279" s="260"/>
      <c r="B1279" s="118"/>
      <c r="C1279" s="132" t="s">
        <v>431</v>
      </c>
      <c r="D1279" s="129"/>
      <c r="E1279" s="129"/>
      <c r="F1279" s="130"/>
      <c r="G1279" s="134" t="s">
        <v>275</v>
      </c>
      <c r="H1279" s="120">
        <v>4.34</v>
      </c>
      <c r="I1279" s="417">
        <v>59.84</v>
      </c>
      <c r="J1279" s="120">
        <v>48</v>
      </c>
      <c r="K1279" s="404"/>
      <c r="L1279" s="120">
        <f>K1279+J1279</f>
        <v>48</v>
      </c>
      <c r="M1279" s="120">
        <f>H1279*I1279</f>
        <v>259.7056</v>
      </c>
      <c r="N1279" s="120">
        <f>H1279*J1279</f>
        <v>208.32</v>
      </c>
      <c r="O1279" s="404">
        <f>K1279*H1279</f>
        <v>0</v>
      </c>
      <c r="P1279" s="127">
        <f>H1279*L1279</f>
        <v>208.32</v>
      </c>
    </row>
    <row r="1280" spans="1:16" ht="15.75">
      <c r="A1280" s="260"/>
      <c r="B1280" s="118"/>
      <c r="C1280" s="132"/>
      <c r="D1280" s="129"/>
      <c r="E1280" s="129"/>
      <c r="F1280" s="130"/>
      <c r="G1280" s="134"/>
      <c r="H1280" s="120"/>
      <c r="I1280" s="417"/>
      <c r="J1280" s="120"/>
      <c r="K1280" s="404"/>
      <c r="L1280" s="120"/>
      <c r="M1280" s="120"/>
      <c r="N1280" s="120"/>
      <c r="O1280" s="404"/>
      <c r="P1280" s="127"/>
    </row>
    <row r="1281" spans="1:17" ht="18">
      <c r="A1281" s="260"/>
      <c r="B1281" s="118"/>
      <c r="C1281" s="132" t="s">
        <v>135</v>
      </c>
      <c r="D1281" s="129"/>
      <c r="E1281" s="129"/>
      <c r="F1281" s="130"/>
      <c r="G1281" s="134" t="s">
        <v>273</v>
      </c>
      <c r="H1281" s="120">
        <v>28.92</v>
      </c>
      <c r="I1281" s="417">
        <v>35.9</v>
      </c>
      <c r="J1281" s="120">
        <v>168</v>
      </c>
      <c r="K1281" s="404"/>
      <c r="L1281" s="120">
        <f>K1281+J1281</f>
        <v>168</v>
      </c>
      <c r="M1281" s="120">
        <f>H1281*I1281</f>
        <v>1038.2280000000001</v>
      </c>
      <c r="N1281" s="120">
        <f>H1281*J1281</f>
        <v>4858.5600000000004</v>
      </c>
      <c r="O1281" s="404">
        <f>K1281*H1281</f>
        <v>0</v>
      </c>
      <c r="P1281" s="127">
        <f>H1281*L1281</f>
        <v>4858.5600000000004</v>
      </c>
    </row>
    <row r="1282" spans="1:17" ht="15.75">
      <c r="A1282" s="260"/>
      <c r="B1282" s="118"/>
      <c r="C1282" s="132"/>
      <c r="D1282" s="129"/>
      <c r="E1282" s="129"/>
      <c r="F1282" s="130"/>
      <c r="G1282" s="134"/>
      <c r="H1282" s="120"/>
      <c r="I1282" s="417"/>
      <c r="J1282" s="120"/>
      <c r="K1282" s="404"/>
      <c r="L1282" s="120"/>
      <c r="M1282" s="120"/>
      <c r="N1282" s="120"/>
      <c r="O1282" s="404"/>
      <c r="P1282" s="127"/>
    </row>
    <row r="1283" spans="1:17" ht="18">
      <c r="A1283" s="260"/>
      <c r="B1283" s="118"/>
      <c r="C1283" s="132" t="s">
        <v>119</v>
      </c>
      <c r="D1283" s="129"/>
      <c r="E1283" s="129"/>
      <c r="F1283" s="130"/>
      <c r="G1283" s="134" t="s">
        <v>273</v>
      </c>
      <c r="H1283" s="120">
        <v>35.369999999999997</v>
      </c>
      <c r="I1283" s="417">
        <v>7.88</v>
      </c>
      <c r="J1283" s="120">
        <v>9.6</v>
      </c>
      <c r="K1283" s="404"/>
      <c r="L1283" s="120">
        <f>K1283+J1283</f>
        <v>9.6</v>
      </c>
      <c r="M1283" s="120">
        <f>H1283*I1283</f>
        <v>278.71559999999999</v>
      </c>
      <c r="N1283" s="120">
        <f>H1283*J1283</f>
        <v>339.55199999999996</v>
      </c>
      <c r="O1283" s="404">
        <f>K1283*H1283</f>
        <v>0</v>
      </c>
      <c r="P1283" s="127">
        <f>H1283*L1283</f>
        <v>339.55199999999996</v>
      </c>
    </row>
    <row r="1284" spans="1:17" ht="15.75">
      <c r="A1284" s="260"/>
      <c r="B1284" s="118"/>
      <c r="C1284" s="132"/>
      <c r="D1284" s="129"/>
      <c r="E1284" s="129"/>
      <c r="F1284" s="130"/>
      <c r="G1284" s="134"/>
      <c r="H1284" s="120"/>
      <c r="I1284" s="417"/>
      <c r="J1284" s="120"/>
      <c r="K1284" s="404"/>
      <c r="L1284" s="120"/>
      <c r="M1284" s="120"/>
      <c r="N1284" s="120"/>
      <c r="O1284" s="404"/>
      <c r="P1284" s="127"/>
    </row>
    <row r="1285" spans="1:17" ht="18">
      <c r="A1285" s="260"/>
      <c r="B1285" s="118"/>
      <c r="C1285" s="132" t="s">
        <v>100</v>
      </c>
      <c r="D1285" s="129"/>
      <c r="E1285" s="129"/>
      <c r="F1285" s="130"/>
      <c r="G1285" s="134" t="s">
        <v>273</v>
      </c>
      <c r="H1285" s="120">
        <v>32.71</v>
      </c>
      <c r="I1285" s="417">
        <v>47.87</v>
      </c>
      <c r="J1285" s="120">
        <v>177.6</v>
      </c>
      <c r="K1285" s="404"/>
      <c r="L1285" s="120">
        <f>K1285+J1285</f>
        <v>177.6</v>
      </c>
      <c r="M1285" s="120">
        <f>H1285*I1285</f>
        <v>1565.8277</v>
      </c>
      <c r="N1285" s="120">
        <f>H1285*J1285</f>
        <v>5809.2960000000003</v>
      </c>
      <c r="O1285" s="404">
        <f>K1285*H1285</f>
        <v>0</v>
      </c>
      <c r="P1285" s="127">
        <f>H1285*L1285</f>
        <v>5809.2960000000003</v>
      </c>
    </row>
    <row r="1286" spans="1:17" ht="15.75">
      <c r="A1286" s="260"/>
      <c r="B1286" s="118"/>
      <c r="C1286" s="132"/>
      <c r="D1286" s="129"/>
      <c r="E1286" s="129"/>
      <c r="F1286" s="130"/>
      <c r="G1286" s="134"/>
      <c r="H1286" s="120"/>
      <c r="I1286" s="417"/>
      <c r="J1286" s="120"/>
      <c r="K1286" s="404"/>
      <c r="L1286" s="120"/>
      <c r="M1286" s="120"/>
      <c r="N1286" s="120"/>
      <c r="O1286" s="404"/>
      <c r="P1286" s="127"/>
    </row>
    <row r="1287" spans="1:17" ht="18">
      <c r="A1287" s="260"/>
      <c r="B1287" s="118"/>
      <c r="C1287" s="132" t="s">
        <v>120</v>
      </c>
      <c r="D1287" s="129"/>
      <c r="E1287" s="129"/>
      <c r="F1287" s="130"/>
      <c r="G1287" s="134" t="s">
        <v>275</v>
      </c>
      <c r="H1287" s="120">
        <v>41.46</v>
      </c>
      <c r="I1287" s="417">
        <v>19.7</v>
      </c>
      <c r="J1287" s="120">
        <v>20.16</v>
      </c>
      <c r="K1287" s="404"/>
      <c r="L1287" s="120">
        <f>K1287+J1287</f>
        <v>20.16</v>
      </c>
      <c r="M1287" s="120">
        <f>H1287*I1287</f>
        <v>816.76199999999994</v>
      </c>
      <c r="N1287" s="120">
        <f>H1287*J1287</f>
        <v>835.83360000000005</v>
      </c>
      <c r="O1287" s="404">
        <f>K1287*H1287</f>
        <v>0</v>
      </c>
      <c r="P1287" s="127">
        <f>H1287*L1287</f>
        <v>835.83360000000005</v>
      </c>
    </row>
    <row r="1288" spans="1:17" ht="15.75">
      <c r="A1288" s="260"/>
      <c r="B1288" s="118"/>
      <c r="C1288" s="132"/>
      <c r="D1288" s="129"/>
      <c r="E1288" s="129"/>
      <c r="F1288" s="130"/>
      <c r="G1288" s="134"/>
      <c r="H1288" s="120"/>
      <c r="I1288" s="417"/>
      <c r="J1288" s="120"/>
      <c r="K1288" s="404"/>
      <c r="L1288" s="120"/>
      <c r="M1288" s="120"/>
      <c r="N1288" s="120"/>
      <c r="O1288" s="404"/>
      <c r="P1288" s="127"/>
    </row>
    <row r="1289" spans="1:17" ht="15.75">
      <c r="A1289" s="260"/>
      <c r="B1289" s="118"/>
      <c r="C1289" s="128" t="s">
        <v>439</v>
      </c>
      <c r="D1289" s="133"/>
      <c r="E1289" s="129"/>
      <c r="F1289" s="130"/>
      <c r="G1289" s="134"/>
      <c r="H1289" s="120"/>
      <c r="I1289" s="417"/>
      <c r="J1289" s="120"/>
      <c r="K1289" s="404"/>
      <c r="L1289" s="120"/>
      <c r="M1289" s="120"/>
      <c r="N1289" s="120"/>
      <c r="O1289" s="404"/>
      <c r="P1289" s="127"/>
    </row>
    <row r="1290" spans="1:17" ht="15.75">
      <c r="A1290" s="260"/>
      <c r="B1290" s="118"/>
      <c r="C1290" s="132"/>
      <c r="D1290" s="129"/>
      <c r="E1290" s="129"/>
      <c r="F1290" s="130"/>
      <c r="G1290" s="134"/>
      <c r="H1290" s="120"/>
      <c r="I1290" s="417"/>
      <c r="J1290" s="120"/>
      <c r="K1290" s="404"/>
      <c r="L1290" s="120"/>
      <c r="M1290" s="120"/>
      <c r="N1290" s="120"/>
      <c r="O1290" s="404"/>
      <c r="P1290" s="127"/>
      <c r="Q1290" s="328">
        <f>Q8-'Grand Summary'!N58</f>
        <v>1678066.9972717776</v>
      </c>
    </row>
    <row r="1291" spans="1:17" ht="15.75">
      <c r="A1291" s="260"/>
      <c r="B1291" s="118"/>
      <c r="C1291" s="132" t="s">
        <v>433</v>
      </c>
      <c r="D1291" s="129"/>
      <c r="E1291" s="133"/>
      <c r="F1291" s="141"/>
      <c r="G1291" s="221"/>
      <c r="H1291" s="136"/>
      <c r="I1291" s="417"/>
      <c r="J1291" s="120"/>
      <c r="K1291" s="404"/>
      <c r="L1291" s="120"/>
      <c r="M1291" s="120"/>
      <c r="N1291" s="120"/>
      <c r="O1291" s="404"/>
      <c r="P1291" s="127"/>
    </row>
    <row r="1292" spans="1:17" ht="15.75">
      <c r="A1292" s="260"/>
      <c r="B1292" s="118"/>
      <c r="C1292" s="132"/>
      <c r="D1292" s="129"/>
      <c r="E1292" s="129"/>
      <c r="F1292" s="130"/>
      <c r="G1292" s="134"/>
      <c r="H1292" s="120"/>
      <c r="I1292" s="417"/>
      <c r="J1292" s="120"/>
      <c r="K1292" s="404"/>
      <c r="L1292" s="120"/>
      <c r="M1292" s="120"/>
      <c r="N1292" s="120"/>
      <c r="O1292" s="404"/>
      <c r="P1292" s="127"/>
    </row>
    <row r="1293" spans="1:17" ht="18">
      <c r="A1293" s="260"/>
      <c r="B1293" s="118"/>
      <c r="C1293" s="132" t="s">
        <v>436</v>
      </c>
      <c r="D1293" s="129"/>
      <c r="E1293" s="129"/>
      <c r="F1293" s="130"/>
      <c r="G1293" s="134" t="s">
        <v>275</v>
      </c>
      <c r="H1293" s="120">
        <v>36.340000000000003</v>
      </c>
      <c r="I1293" s="417">
        <v>24.5</v>
      </c>
      <c r="J1293" s="120">
        <v>24</v>
      </c>
      <c r="K1293" s="404"/>
      <c r="L1293" s="120">
        <f>K1293+J1293</f>
        <v>24</v>
      </c>
      <c r="M1293" s="120">
        <f>H1293*I1293</f>
        <v>890.33</v>
      </c>
      <c r="N1293" s="120">
        <f>H1293*J1293</f>
        <v>872.16000000000008</v>
      </c>
      <c r="O1293" s="404">
        <f>K1293*H1293</f>
        <v>0</v>
      </c>
      <c r="P1293" s="127">
        <f>H1293*L1293</f>
        <v>872.16000000000008</v>
      </c>
    </row>
    <row r="1294" spans="1:17" ht="15.75">
      <c r="A1294" s="260"/>
      <c r="B1294" s="118"/>
      <c r="C1294" s="132"/>
      <c r="D1294" s="129"/>
      <c r="E1294" s="129"/>
      <c r="F1294" s="130"/>
      <c r="G1294" s="134"/>
      <c r="H1294" s="120">
        <f>+N1137</f>
        <v>8928</v>
      </c>
      <c r="I1294" s="417"/>
      <c r="J1294" s="120"/>
      <c r="K1294" s="404"/>
      <c r="L1294" s="120"/>
      <c r="M1294" s="120"/>
      <c r="N1294" s="120"/>
      <c r="O1294" s="404"/>
      <c r="P1294" s="127"/>
    </row>
    <row r="1295" spans="1:17" ht="15.75">
      <c r="A1295" s="260"/>
      <c r="B1295" s="118"/>
      <c r="C1295" s="132" t="s">
        <v>437</v>
      </c>
      <c r="D1295" s="129"/>
      <c r="E1295" s="129"/>
      <c r="F1295" s="130"/>
      <c r="G1295" s="134"/>
      <c r="H1295" s="120"/>
      <c r="I1295" s="417"/>
      <c r="J1295" s="120"/>
      <c r="K1295" s="404"/>
      <c r="L1295" s="120"/>
      <c r="M1295" s="120"/>
      <c r="N1295" s="120"/>
      <c r="O1295" s="404"/>
      <c r="P1295" s="127"/>
    </row>
    <row r="1296" spans="1:17" ht="15.75">
      <c r="A1296" s="260"/>
      <c r="B1296" s="118"/>
      <c r="C1296" s="132"/>
      <c r="D1296" s="129"/>
      <c r="E1296" s="129"/>
      <c r="F1296" s="130"/>
      <c r="G1296" s="134"/>
      <c r="H1296" s="120"/>
      <c r="I1296" s="417"/>
      <c r="J1296" s="120"/>
      <c r="K1296" s="404"/>
      <c r="L1296" s="120"/>
      <c r="M1296" s="120"/>
      <c r="N1296" s="120"/>
      <c r="O1296" s="404"/>
      <c r="P1296" s="127"/>
    </row>
    <row r="1297" spans="1:16" ht="18">
      <c r="A1297" s="260"/>
      <c r="B1297" s="118"/>
      <c r="C1297" s="132" t="s">
        <v>434</v>
      </c>
      <c r="D1297" s="129"/>
      <c r="E1297" s="129"/>
      <c r="F1297" s="130"/>
      <c r="G1297" s="134" t="s">
        <v>273</v>
      </c>
      <c r="H1297" s="120">
        <v>1089</v>
      </c>
      <c r="I1297" s="417">
        <v>2.4</v>
      </c>
      <c r="J1297" s="120">
        <v>1.43</v>
      </c>
      <c r="K1297" s="404"/>
      <c r="L1297" s="120">
        <f>K1297+J1297</f>
        <v>1.43</v>
      </c>
      <c r="M1297" s="120">
        <f>H1297*I1297</f>
        <v>2613.6</v>
      </c>
      <c r="N1297" s="120">
        <f>H1297*J1297</f>
        <v>1557.27</v>
      </c>
      <c r="O1297" s="404">
        <f>K1297*H1297</f>
        <v>0</v>
      </c>
      <c r="P1297" s="127">
        <f>H1297*L1297</f>
        <v>1557.27</v>
      </c>
    </row>
    <row r="1298" spans="1:16" ht="18">
      <c r="A1298" s="260"/>
      <c r="B1298" s="118"/>
      <c r="C1298" s="132" t="s">
        <v>435</v>
      </c>
      <c r="D1298" s="129"/>
      <c r="E1298" s="129"/>
      <c r="F1298" s="130"/>
      <c r="G1298" s="134" t="s">
        <v>275</v>
      </c>
      <c r="H1298" s="120">
        <v>163.35</v>
      </c>
      <c r="I1298" s="417">
        <v>19.7</v>
      </c>
      <c r="J1298" s="120">
        <v>19.25</v>
      </c>
      <c r="K1298" s="404"/>
      <c r="L1298" s="120">
        <f>K1298+J1298</f>
        <v>19.25</v>
      </c>
      <c r="M1298" s="120">
        <f>H1298*I1298</f>
        <v>3217.9949999999999</v>
      </c>
      <c r="N1298" s="120">
        <f>H1298*J1298</f>
        <v>3144.4874999999997</v>
      </c>
      <c r="O1298" s="404">
        <f>K1298*H1298</f>
        <v>0</v>
      </c>
      <c r="P1298" s="127">
        <f>H1298*L1298</f>
        <v>3144.4874999999997</v>
      </c>
    </row>
    <row r="1299" spans="1:16" ht="15.75">
      <c r="A1299" s="260"/>
      <c r="B1299" s="118"/>
      <c r="C1299" s="132"/>
      <c r="D1299" s="129"/>
      <c r="E1299" s="129"/>
      <c r="F1299" s="130"/>
      <c r="G1299" s="134"/>
      <c r="H1299" s="120"/>
      <c r="I1299" s="417"/>
      <c r="J1299" s="120"/>
      <c r="K1299" s="404"/>
      <c r="L1299" s="120"/>
      <c r="M1299" s="120"/>
      <c r="N1299" s="120"/>
      <c r="O1299" s="404"/>
      <c r="P1299" s="127"/>
    </row>
    <row r="1300" spans="1:16" ht="15.75">
      <c r="A1300" s="260"/>
      <c r="B1300" s="118"/>
      <c r="C1300" s="132" t="s">
        <v>102</v>
      </c>
      <c r="D1300" s="129"/>
      <c r="E1300" s="129"/>
      <c r="F1300" s="130"/>
      <c r="G1300" s="134"/>
      <c r="H1300" s="120"/>
      <c r="I1300" s="417"/>
      <c r="J1300" s="120"/>
      <c r="K1300" s="404"/>
      <c r="L1300" s="120"/>
      <c r="M1300" s="120"/>
      <c r="N1300" s="120"/>
      <c r="O1300" s="404"/>
      <c r="P1300" s="127"/>
    </row>
    <row r="1301" spans="1:16" ht="15.75">
      <c r="A1301" s="260"/>
      <c r="B1301" s="118"/>
      <c r="C1301" s="132" t="s">
        <v>104</v>
      </c>
      <c r="D1301" s="129"/>
      <c r="E1301" s="129"/>
      <c r="F1301" s="130"/>
      <c r="G1301" s="134"/>
      <c r="H1301" s="120"/>
      <c r="I1301" s="417"/>
      <c r="J1301" s="120"/>
      <c r="K1301" s="404"/>
      <c r="L1301" s="120"/>
      <c r="M1301" s="120"/>
      <c r="N1301" s="120"/>
      <c r="O1301" s="404"/>
      <c r="P1301" s="127"/>
    </row>
    <row r="1302" spans="1:16" ht="15.75">
      <c r="A1302" s="260"/>
      <c r="B1302" s="118"/>
      <c r="C1302" s="128"/>
      <c r="D1302" s="133"/>
      <c r="E1302" s="129"/>
      <c r="F1302" s="130"/>
      <c r="G1302" s="134"/>
      <c r="H1302" s="120"/>
      <c r="I1302" s="417"/>
      <c r="J1302" s="120"/>
      <c r="K1302" s="404"/>
      <c r="L1302" s="120"/>
      <c r="M1302" s="120"/>
      <c r="N1302" s="120"/>
      <c r="O1302" s="404"/>
      <c r="P1302" s="127"/>
    </row>
    <row r="1303" spans="1:16" ht="18">
      <c r="A1303" s="260"/>
      <c r="B1303" s="118"/>
      <c r="C1303" s="132" t="s">
        <v>432</v>
      </c>
      <c r="D1303" s="129"/>
      <c r="E1303" s="129"/>
      <c r="F1303" s="130"/>
      <c r="G1303" s="134" t="s">
        <v>275</v>
      </c>
      <c r="H1303" s="120">
        <v>59.08</v>
      </c>
      <c r="I1303" s="417">
        <v>19.2</v>
      </c>
      <c r="J1303" s="120">
        <v>6</v>
      </c>
      <c r="K1303" s="404"/>
      <c r="L1303" s="120">
        <f>K1303+J1303</f>
        <v>6</v>
      </c>
      <c r="M1303" s="120">
        <f>H1303*I1303</f>
        <v>1134.336</v>
      </c>
      <c r="N1303" s="120">
        <f>H1303*J1303</f>
        <v>354.48</v>
      </c>
      <c r="O1303" s="404">
        <f>K1303*H1303</f>
        <v>0</v>
      </c>
      <c r="P1303" s="127">
        <f>H1303*L1303</f>
        <v>354.48</v>
      </c>
    </row>
    <row r="1304" spans="1:16" ht="15.75">
      <c r="A1304" s="260"/>
      <c r="B1304" s="118"/>
      <c r="C1304" s="132"/>
      <c r="D1304" s="129"/>
      <c r="E1304" s="129"/>
      <c r="F1304" s="130"/>
      <c r="G1304" s="134"/>
      <c r="H1304" s="120"/>
      <c r="I1304" s="417"/>
      <c r="J1304" s="120"/>
      <c r="K1304" s="404"/>
      <c r="L1304" s="120"/>
      <c r="M1304" s="120"/>
      <c r="N1304" s="120"/>
      <c r="O1304" s="404"/>
      <c r="P1304" s="127"/>
    </row>
    <row r="1305" spans="1:16" ht="15.75">
      <c r="A1305" s="260"/>
      <c r="B1305" s="118"/>
      <c r="C1305" s="132" t="s">
        <v>440</v>
      </c>
      <c r="D1305" s="129"/>
      <c r="E1305" s="129"/>
      <c r="F1305" s="130"/>
      <c r="G1305" s="134"/>
      <c r="H1305" s="120"/>
      <c r="I1305" s="417"/>
      <c r="J1305" s="120"/>
      <c r="K1305" s="404"/>
      <c r="L1305" s="120"/>
      <c r="M1305" s="120"/>
      <c r="N1305" s="120"/>
      <c r="O1305" s="404"/>
      <c r="P1305" s="127"/>
    </row>
    <row r="1306" spans="1:16" ht="15.75">
      <c r="A1306" s="260"/>
      <c r="B1306" s="118"/>
      <c r="C1306" s="132"/>
      <c r="D1306" s="129"/>
      <c r="E1306" s="129"/>
      <c r="F1306" s="130"/>
      <c r="G1306" s="134"/>
      <c r="H1306" s="120"/>
      <c r="I1306" s="417"/>
      <c r="J1306" s="120"/>
      <c r="K1306" s="404"/>
      <c r="L1306" s="120"/>
      <c r="M1306" s="120"/>
      <c r="N1306" s="120"/>
      <c r="O1306" s="404"/>
      <c r="P1306" s="127"/>
    </row>
    <row r="1307" spans="1:16" ht="15.75">
      <c r="A1307" s="260"/>
      <c r="B1307" s="118"/>
      <c r="C1307" s="132" t="s">
        <v>110</v>
      </c>
      <c r="D1307" s="129"/>
      <c r="E1307" s="129"/>
      <c r="F1307" s="130"/>
      <c r="G1307" s="134" t="s">
        <v>103</v>
      </c>
      <c r="H1307" s="120">
        <v>2.0099999999999998</v>
      </c>
      <c r="I1307" s="417">
        <v>144.5</v>
      </c>
      <c r="J1307" s="120">
        <v>37.92</v>
      </c>
      <c r="K1307" s="404"/>
      <c r="L1307" s="120">
        <f>K1307+J1307</f>
        <v>37.92</v>
      </c>
      <c r="M1307" s="120">
        <f>H1307*I1307</f>
        <v>290.44499999999999</v>
      </c>
      <c r="N1307" s="120">
        <f>H1307*J1307</f>
        <v>76.219200000000001</v>
      </c>
      <c r="O1307" s="404">
        <f>K1307*H1307</f>
        <v>0</v>
      </c>
      <c r="P1307" s="127">
        <f>H1307*L1307</f>
        <v>76.219200000000001</v>
      </c>
    </row>
    <row r="1308" spans="1:16" ht="15.75">
      <c r="A1308" s="260"/>
      <c r="B1308" s="118"/>
      <c r="C1308" s="132"/>
      <c r="D1308" s="129"/>
      <c r="E1308" s="129"/>
      <c r="F1308" s="130"/>
      <c r="G1308" s="134"/>
      <c r="H1308" s="120"/>
      <c r="I1308" s="417"/>
      <c r="J1308" s="120"/>
      <c r="K1308" s="404"/>
      <c r="L1308" s="120"/>
      <c r="M1308" s="120"/>
      <c r="N1308" s="120"/>
      <c r="O1308" s="404"/>
      <c r="P1308" s="127"/>
    </row>
    <row r="1309" spans="1:16" ht="15.75">
      <c r="A1309" s="260"/>
      <c r="B1309" s="118"/>
      <c r="C1309" s="132" t="s">
        <v>128</v>
      </c>
      <c r="D1309" s="129"/>
      <c r="E1309" s="129"/>
      <c r="F1309" s="130"/>
      <c r="G1309" s="134" t="s">
        <v>103</v>
      </c>
      <c r="H1309" s="120">
        <v>1.59</v>
      </c>
      <c r="I1309" s="417">
        <v>0</v>
      </c>
      <c r="J1309" s="120">
        <v>146.54</v>
      </c>
      <c r="K1309" s="404"/>
      <c r="L1309" s="120">
        <f>K1309+J1309</f>
        <v>146.54</v>
      </c>
      <c r="M1309" s="120">
        <f>H1309*I1309</f>
        <v>0</v>
      </c>
      <c r="N1309" s="120">
        <f>H1309*J1309</f>
        <v>232.99860000000001</v>
      </c>
      <c r="O1309" s="404">
        <f>K1309*H1309</f>
        <v>0</v>
      </c>
      <c r="P1309" s="127">
        <f>H1309*L1309</f>
        <v>232.99860000000001</v>
      </c>
    </row>
    <row r="1310" spans="1:16" ht="15.75">
      <c r="A1310" s="260"/>
      <c r="B1310" s="118"/>
      <c r="C1310" s="132"/>
      <c r="D1310" s="129"/>
      <c r="E1310" s="129"/>
      <c r="F1310" s="130"/>
      <c r="G1310" s="134"/>
      <c r="H1310" s="120"/>
      <c r="I1310" s="417"/>
      <c r="J1310" s="120"/>
      <c r="K1310" s="404"/>
      <c r="L1310" s="120"/>
      <c r="M1310" s="120"/>
      <c r="N1310" s="120"/>
      <c r="O1310" s="404"/>
      <c r="P1310" s="127"/>
    </row>
    <row r="1311" spans="1:16" ht="15.75">
      <c r="A1311" s="260"/>
      <c r="B1311" s="118"/>
      <c r="C1311" s="132" t="s">
        <v>441</v>
      </c>
      <c r="D1311" s="129"/>
      <c r="E1311" s="129"/>
      <c r="F1311" s="130"/>
      <c r="G1311" s="134" t="s">
        <v>103</v>
      </c>
      <c r="H1311" s="120">
        <v>1.59</v>
      </c>
      <c r="I1311" s="417">
        <v>0</v>
      </c>
      <c r="J1311" s="120">
        <v>212.59</v>
      </c>
      <c r="K1311" s="404"/>
      <c r="L1311" s="120">
        <f>K1311+J1311</f>
        <v>212.59</v>
      </c>
      <c r="M1311" s="120">
        <f>H1311*I1311</f>
        <v>0</v>
      </c>
      <c r="N1311" s="120">
        <f>H1311*J1311</f>
        <v>338.0181</v>
      </c>
      <c r="O1311" s="404">
        <f>K1311*H1311</f>
        <v>0</v>
      </c>
      <c r="P1311" s="127">
        <f>H1311*L1311</f>
        <v>338.0181</v>
      </c>
    </row>
    <row r="1312" spans="1:16" ht="15.75">
      <c r="A1312" s="260"/>
      <c r="B1312" s="118"/>
      <c r="C1312" s="132"/>
      <c r="D1312" s="129"/>
      <c r="E1312" s="129"/>
      <c r="F1312" s="130"/>
      <c r="G1312" s="134"/>
      <c r="H1312" s="120"/>
      <c r="I1312" s="417"/>
      <c r="J1312" s="120"/>
      <c r="K1312" s="404"/>
      <c r="L1312" s="120"/>
      <c r="M1312" s="120"/>
      <c r="N1312" s="120"/>
      <c r="O1312" s="404"/>
      <c r="P1312" s="127"/>
    </row>
    <row r="1313" spans="1:16" ht="15.75">
      <c r="A1313" s="260"/>
      <c r="B1313" s="118"/>
      <c r="C1313" s="132" t="s">
        <v>442</v>
      </c>
      <c r="D1313" s="129"/>
      <c r="E1313" s="129"/>
      <c r="F1313" s="130"/>
      <c r="G1313" s="134" t="s">
        <v>103</v>
      </c>
      <c r="H1313" s="120">
        <v>1.59</v>
      </c>
      <c r="I1313" s="417">
        <v>171.23</v>
      </c>
      <c r="J1313" s="120">
        <v>159.59</v>
      </c>
      <c r="K1313" s="404"/>
      <c r="L1313" s="120">
        <f>K1313+J1313</f>
        <v>159.59</v>
      </c>
      <c r="M1313" s="120">
        <f>H1313*I1313</f>
        <v>272.25569999999999</v>
      </c>
      <c r="N1313" s="120">
        <f>H1313*J1313</f>
        <v>253.74810000000002</v>
      </c>
      <c r="O1313" s="404">
        <f>K1313*H1313</f>
        <v>0</v>
      </c>
      <c r="P1313" s="127">
        <f>H1313*L1313</f>
        <v>253.74810000000002</v>
      </c>
    </row>
    <row r="1314" spans="1:16" ht="15.75">
      <c r="A1314" s="260"/>
      <c r="B1314" s="118"/>
      <c r="C1314" s="128"/>
      <c r="D1314" s="133"/>
      <c r="E1314" s="133"/>
      <c r="F1314" s="141"/>
      <c r="G1314" s="221"/>
      <c r="H1314" s="136"/>
      <c r="I1314" s="417"/>
      <c r="J1314" s="120"/>
      <c r="K1314" s="404"/>
      <c r="L1314" s="120"/>
      <c r="M1314" s="120"/>
      <c r="N1314" s="120"/>
      <c r="O1314" s="404"/>
      <c r="P1314" s="127"/>
    </row>
    <row r="1315" spans="1:16" ht="15.75">
      <c r="A1315" s="260"/>
      <c r="B1315" s="118"/>
      <c r="C1315" s="128" t="s">
        <v>130</v>
      </c>
      <c r="D1315" s="133"/>
      <c r="E1315" s="133"/>
      <c r="F1315" s="130"/>
      <c r="G1315" s="134"/>
      <c r="H1315" s="120"/>
      <c r="I1315" s="417"/>
      <c r="J1315" s="120"/>
      <c r="K1315" s="404"/>
      <c r="L1315" s="120"/>
      <c r="M1315" s="120"/>
      <c r="N1315" s="120"/>
      <c r="O1315" s="404"/>
      <c r="P1315" s="127"/>
    </row>
    <row r="1316" spans="1:16" ht="15.75">
      <c r="A1316" s="260"/>
      <c r="B1316" s="118"/>
      <c r="C1316" s="132"/>
      <c r="D1316" s="129"/>
      <c r="E1316" s="129"/>
      <c r="F1316" s="130"/>
      <c r="G1316" s="134"/>
      <c r="H1316" s="120"/>
      <c r="I1316" s="417"/>
      <c r="J1316" s="120"/>
      <c r="K1316" s="404"/>
      <c r="L1316" s="120"/>
      <c r="M1316" s="120"/>
      <c r="N1316" s="120"/>
      <c r="O1316" s="404"/>
      <c r="P1316" s="127"/>
    </row>
    <row r="1317" spans="1:16" ht="15.75">
      <c r="A1317" s="260"/>
      <c r="B1317" s="118"/>
      <c r="C1317" s="128" t="s">
        <v>443</v>
      </c>
      <c r="D1317" s="133"/>
      <c r="E1317" s="133"/>
      <c r="F1317" s="130"/>
      <c r="G1317" s="134"/>
      <c r="H1317" s="120"/>
      <c r="I1317" s="417"/>
      <c r="J1317" s="120"/>
      <c r="K1317" s="404"/>
      <c r="L1317" s="120"/>
      <c r="M1317" s="120"/>
      <c r="N1317" s="120"/>
      <c r="O1317" s="404"/>
      <c r="P1317" s="127"/>
    </row>
    <row r="1318" spans="1:16" ht="15.75">
      <c r="A1318" s="260"/>
      <c r="B1318" s="118"/>
      <c r="C1318" s="132"/>
      <c r="D1318" s="129"/>
      <c r="E1318" s="129"/>
      <c r="F1318" s="130"/>
      <c r="G1318" s="134"/>
      <c r="H1318" s="120"/>
      <c r="I1318" s="417"/>
      <c r="J1318" s="120"/>
      <c r="K1318" s="404"/>
      <c r="L1318" s="120"/>
      <c r="M1318" s="120"/>
      <c r="N1318" s="120"/>
      <c r="O1318" s="404"/>
      <c r="P1318" s="127"/>
    </row>
    <row r="1319" spans="1:16" ht="15.75">
      <c r="A1319" s="260"/>
      <c r="B1319" s="118"/>
      <c r="C1319" s="132" t="s">
        <v>123</v>
      </c>
      <c r="D1319" s="129"/>
      <c r="E1319" s="129"/>
      <c r="F1319" s="130"/>
      <c r="G1319" s="134"/>
      <c r="H1319" s="120"/>
      <c r="I1319" s="417"/>
      <c r="J1319" s="120"/>
      <c r="K1319" s="404"/>
      <c r="L1319" s="120"/>
      <c r="M1319" s="120"/>
      <c r="N1319" s="120"/>
      <c r="O1319" s="404"/>
      <c r="P1319" s="127"/>
    </row>
    <row r="1320" spans="1:16" ht="15.75">
      <c r="A1320" s="260"/>
      <c r="B1320" s="118"/>
      <c r="C1320" s="132"/>
      <c r="D1320" s="129"/>
      <c r="E1320" s="129"/>
      <c r="F1320" s="130"/>
      <c r="G1320" s="134"/>
      <c r="H1320" s="120"/>
      <c r="I1320" s="417"/>
      <c r="J1320" s="120"/>
      <c r="K1320" s="404"/>
      <c r="L1320" s="120"/>
      <c r="M1320" s="120"/>
      <c r="N1320" s="120"/>
      <c r="O1320" s="404"/>
      <c r="P1320" s="127"/>
    </row>
    <row r="1321" spans="1:16" ht="18">
      <c r="A1321" s="260"/>
      <c r="B1321" s="118"/>
      <c r="C1321" s="132" t="s">
        <v>131</v>
      </c>
      <c r="D1321" s="129"/>
      <c r="E1321" s="129"/>
      <c r="F1321" s="130"/>
      <c r="G1321" s="134" t="s">
        <v>273</v>
      </c>
      <c r="H1321" s="120">
        <v>1102.58</v>
      </c>
      <c r="I1321" s="417">
        <v>0.65</v>
      </c>
      <c r="J1321" s="120">
        <v>0.43</v>
      </c>
      <c r="K1321" s="404"/>
      <c r="L1321" s="120">
        <f>K1321+J1321</f>
        <v>0.43</v>
      </c>
      <c r="M1321" s="120">
        <f>H1321*I1321</f>
        <v>716.67700000000002</v>
      </c>
      <c r="N1321" s="120">
        <f>H1321*J1321</f>
        <v>474.10939999999994</v>
      </c>
      <c r="O1321" s="404">
        <f>K1321*H1321</f>
        <v>0</v>
      </c>
      <c r="P1321" s="127">
        <f>H1321*L1321</f>
        <v>474.10939999999994</v>
      </c>
    </row>
    <row r="1322" spans="1:16" ht="15.75">
      <c r="A1322" s="260"/>
      <c r="B1322" s="118"/>
      <c r="C1322" s="132"/>
      <c r="D1322" s="129"/>
      <c r="E1322" s="129"/>
      <c r="F1322" s="130"/>
      <c r="G1322" s="134"/>
      <c r="H1322" s="120"/>
      <c r="I1322" s="417"/>
      <c r="J1322" s="120"/>
      <c r="K1322" s="404"/>
      <c r="L1322" s="120"/>
      <c r="M1322" s="120"/>
      <c r="N1322" s="120"/>
      <c r="O1322" s="404"/>
      <c r="P1322" s="127"/>
    </row>
    <row r="1323" spans="1:16" ht="18">
      <c r="A1323" s="260"/>
      <c r="B1323" s="118"/>
      <c r="C1323" s="132" t="s">
        <v>444</v>
      </c>
      <c r="D1323" s="129"/>
      <c r="E1323" s="129"/>
      <c r="F1323" s="130"/>
      <c r="G1323" s="134" t="s">
        <v>273</v>
      </c>
      <c r="H1323" s="120">
        <v>1102.58</v>
      </c>
      <c r="I1323" s="417">
        <v>1.34</v>
      </c>
      <c r="J1323" s="120">
        <v>1.21</v>
      </c>
      <c r="K1323" s="404"/>
      <c r="L1323" s="120">
        <f>K1323+J1323</f>
        <v>1.21</v>
      </c>
      <c r="M1323" s="120">
        <f>H1323*I1323</f>
        <v>1477.4572000000001</v>
      </c>
      <c r="N1323" s="120">
        <f>H1323*J1323</f>
        <v>1334.1217999999999</v>
      </c>
      <c r="O1323" s="404">
        <f>K1323*H1323</f>
        <v>0</v>
      </c>
      <c r="P1323" s="127">
        <f>H1323*L1323</f>
        <v>1334.1217999999999</v>
      </c>
    </row>
    <row r="1324" spans="1:16" ht="15.75">
      <c r="A1324" s="260"/>
      <c r="B1324" s="118"/>
      <c r="C1324" s="132"/>
      <c r="D1324" s="129"/>
      <c r="E1324" s="129"/>
      <c r="F1324" s="130"/>
      <c r="G1324" s="134"/>
      <c r="H1324" s="120"/>
      <c r="I1324" s="417"/>
      <c r="J1324" s="120"/>
      <c r="K1324" s="404"/>
      <c r="L1324" s="120"/>
      <c r="M1324" s="120"/>
      <c r="N1324" s="120"/>
      <c r="O1324" s="404"/>
      <c r="P1324" s="127"/>
    </row>
    <row r="1325" spans="1:16" ht="18">
      <c r="A1325" s="260"/>
      <c r="B1325" s="118"/>
      <c r="C1325" s="132" t="s">
        <v>445</v>
      </c>
      <c r="D1325" s="129"/>
      <c r="E1325" s="129"/>
      <c r="F1325" s="130"/>
      <c r="G1325" s="134" t="s">
        <v>273</v>
      </c>
      <c r="H1325" s="120">
        <v>1102.58</v>
      </c>
      <c r="I1325" s="417">
        <v>0.16</v>
      </c>
      <c r="J1325" s="120">
        <v>0</v>
      </c>
      <c r="K1325" s="404"/>
      <c r="L1325" s="120">
        <f>K1325+J1325</f>
        <v>0</v>
      </c>
      <c r="M1325" s="120">
        <f>H1325*I1325</f>
        <v>176.4128</v>
      </c>
      <c r="N1325" s="120">
        <f>H1325*J1325</f>
        <v>0</v>
      </c>
      <c r="O1325" s="404">
        <f>K1325*H1325</f>
        <v>0</v>
      </c>
      <c r="P1325" s="127">
        <f>H1325*L1325</f>
        <v>0</v>
      </c>
    </row>
    <row r="1326" spans="1:16" ht="15.75">
      <c r="A1326" s="260"/>
      <c r="B1326" s="118"/>
      <c r="C1326" s="132"/>
      <c r="D1326" s="129"/>
      <c r="E1326" s="129"/>
      <c r="F1326" s="130"/>
      <c r="G1326" s="134"/>
      <c r="H1326" s="120"/>
      <c r="I1326" s="417"/>
      <c r="J1326" s="120"/>
      <c r="K1326" s="404"/>
      <c r="L1326" s="120"/>
      <c r="M1326" s="120"/>
      <c r="N1326" s="120"/>
      <c r="O1326" s="404"/>
      <c r="P1326" s="127"/>
    </row>
    <row r="1327" spans="1:16" ht="15.75">
      <c r="A1327" s="260"/>
      <c r="B1327" s="118"/>
      <c r="C1327" s="132" t="s">
        <v>102</v>
      </c>
      <c r="D1327" s="129"/>
      <c r="E1327" s="129"/>
      <c r="F1327" s="130"/>
      <c r="G1327" s="134"/>
      <c r="H1327" s="120"/>
      <c r="I1327" s="417"/>
      <c r="J1327" s="120"/>
      <c r="K1327" s="404"/>
      <c r="L1327" s="120"/>
      <c r="M1327" s="120"/>
      <c r="N1327" s="120"/>
      <c r="O1327" s="404"/>
      <c r="P1327" s="127"/>
    </row>
    <row r="1328" spans="1:16" ht="15.75">
      <c r="A1328" s="260"/>
      <c r="B1328" s="118"/>
      <c r="C1328" s="132" t="s">
        <v>104</v>
      </c>
      <c r="D1328" s="129"/>
      <c r="E1328" s="129"/>
      <c r="F1328" s="130"/>
      <c r="G1328" s="134"/>
      <c r="H1328" s="120"/>
      <c r="I1328" s="417"/>
      <c r="J1328" s="120"/>
      <c r="K1328" s="404"/>
      <c r="L1328" s="120"/>
      <c r="M1328" s="120"/>
      <c r="N1328" s="120"/>
      <c r="O1328" s="404"/>
      <c r="P1328" s="127"/>
    </row>
    <row r="1329" spans="1:16" ht="15.75">
      <c r="A1329" s="260"/>
      <c r="B1329" s="118"/>
      <c r="C1329" s="132"/>
      <c r="D1329" s="129"/>
      <c r="E1329" s="129"/>
      <c r="F1329" s="130"/>
      <c r="G1329" s="134"/>
      <c r="H1329" s="120"/>
      <c r="I1329" s="417"/>
      <c r="J1329" s="120"/>
      <c r="K1329" s="404"/>
      <c r="L1329" s="120"/>
      <c r="M1329" s="120"/>
      <c r="N1329" s="120"/>
      <c r="O1329" s="404"/>
      <c r="P1329" s="127"/>
    </row>
    <row r="1330" spans="1:16" ht="18">
      <c r="A1330" s="260"/>
      <c r="B1330" s="118"/>
      <c r="C1330" s="132" t="s">
        <v>131</v>
      </c>
      <c r="D1330" s="129"/>
      <c r="E1330" s="129"/>
      <c r="F1330" s="130"/>
      <c r="G1330" s="134" t="s">
        <v>275</v>
      </c>
      <c r="H1330" s="120">
        <v>67.680000000000007</v>
      </c>
      <c r="I1330" s="417">
        <v>10.84</v>
      </c>
      <c r="J1330" s="120">
        <v>8.64</v>
      </c>
      <c r="K1330" s="404"/>
      <c r="L1330" s="120">
        <f>K1330+J1330</f>
        <v>8.64</v>
      </c>
      <c r="M1330" s="120">
        <f>H1330*I1330</f>
        <v>733.65120000000002</v>
      </c>
      <c r="N1330" s="120">
        <f>H1330*J1330</f>
        <v>584.75520000000006</v>
      </c>
      <c r="O1330" s="404">
        <f>K1330*H1330</f>
        <v>0</v>
      </c>
      <c r="P1330" s="127">
        <f>H1330*L1330</f>
        <v>584.75520000000006</v>
      </c>
    </row>
    <row r="1331" spans="1:16" ht="15.75">
      <c r="A1331" s="260"/>
      <c r="B1331" s="118"/>
      <c r="C1331" s="132"/>
      <c r="D1331" s="129"/>
      <c r="E1331" s="129"/>
      <c r="F1331" s="130"/>
      <c r="G1331" s="134"/>
      <c r="H1331" s="120"/>
      <c r="I1331" s="417"/>
      <c r="J1331" s="120"/>
      <c r="K1331" s="404"/>
      <c r="L1331" s="120"/>
      <c r="M1331" s="120"/>
      <c r="N1331" s="120"/>
      <c r="O1331" s="404"/>
      <c r="P1331" s="127"/>
    </row>
    <row r="1332" spans="1:16" ht="18">
      <c r="A1332" s="260"/>
      <c r="B1332" s="118"/>
      <c r="C1332" s="132" t="s">
        <v>444</v>
      </c>
      <c r="D1332" s="129"/>
      <c r="E1332" s="129"/>
      <c r="F1332" s="130"/>
      <c r="G1332" s="134" t="s">
        <v>275</v>
      </c>
      <c r="H1332" s="120">
        <v>67.680000000000007</v>
      </c>
      <c r="I1332" s="417">
        <v>17.84</v>
      </c>
      <c r="J1332" s="120">
        <v>15.52</v>
      </c>
      <c r="K1332" s="404"/>
      <c r="L1332" s="120">
        <f>K1332+J1332</f>
        <v>15.52</v>
      </c>
      <c r="M1332" s="120">
        <f>H1332*I1332</f>
        <v>1207.4112</v>
      </c>
      <c r="N1332" s="120">
        <f>H1332*J1332</f>
        <v>1050.3936000000001</v>
      </c>
      <c r="O1332" s="404">
        <f>K1332*H1332</f>
        <v>0</v>
      </c>
      <c r="P1332" s="127">
        <f>H1332*L1332</f>
        <v>1050.3936000000001</v>
      </c>
    </row>
    <row r="1333" spans="1:16" ht="15.75">
      <c r="A1333" s="260"/>
      <c r="B1333" s="118"/>
      <c r="C1333" s="132"/>
      <c r="D1333" s="129"/>
      <c r="E1333" s="129"/>
      <c r="F1333" s="130"/>
      <c r="G1333" s="134"/>
      <c r="H1333" s="120"/>
      <c r="I1333" s="417"/>
      <c r="J1333" s="120"/>
      <c r="K1333" s="404"/>
      <c r="L1333" s="120"/>
      <c r="M1333" s="120"/>
      <c r="N1333" s="120"/>
      <c r="O1333" s="404"/>
      <c r="P1333" s="127"/>
    </row>
    <row r="1334" spans="1:16" ht="18">
      <c r="A1334" s="260"/>
      <c r="B1334" s="118"/>
      <c r="C1334" s="132" t="s">
        <v>445</v>
      </c>
      <c r="D1334" s="129"/>
      <c r="E1334" s="129"/>
      <c r="F1334" s="130"/>
      <c r="G1334" s="134" t="s">
        <v>275</v>
      </c>
      <c r="H1334" s="120">
        <v>67.680000000000007</v>
      </c>
      <c r="I1334" s="417">
        <v>2.4</v>
      </c>
      <c r="J1334" s="120">
        <v>0</v>
      </c>
      <c r="K1334" s="404"/>
      <c r="L1334" s="120">
        <f>K1334+J1334</f>
        <v>0</v>
      </c>
      <c r="M1334" s="120">
        <f>H1334*I1334</f>
        <v>162.43200000000002</v>
      </c>
      <c r="N1334" s="120">
        <f>H1334*J1334</f>
        <v>0</v>
      </c>
      <c r="O1334" s="404">
        <f>K1334*H1334</f>
        <v>0</v>
      </c>
      <c r="P1334" s="127">
        <f>H1334*L1334</f>
        <v>0</v>
      </c>
    </row>
    <row r="1335" spans="1:16" ht="15.75">
      <c r="A1335" s="260"/>
      <c r="B1335" s="118"/>
      <c r="C1335" s="132"/>
      <c r="D1335" s="129"/>
      <c r="E1335" s="129"/>
      <c r="F1335" s="130"/>
      <c r="G1335" s="134"/>
      <c r="H1335" s="120"/>
      <c r="I1335" s="417"/>
      <c r="J1335" s="120"/>
      <c r="K1335" s="404"/>
      <c r="L1335" s="120"/>
      <c r="M1335" s="120"/>
      <c r="N1335" s="120"/>
      <c r="O1335" s="404"/>
      <c r="P1335" s="127"/>
    </row>
    <row r="1336" spans="1:16" ht="15.75">
      <c r="A1336" s="260"/>
      <c r="B1336" s="118"/>
      <c r="C1336" s="132" t="s">
        <v>440</v>
      </c>
      <c r="D1336" s="129"/>
      <c r="E1336" s="129"/>
      <c r="F1336" s="130"/>
      <c r="G1336" s="134"/>
      <c r="H1336" s="120"/>
      <c r="I1336" s="417"/>
      <c r="J1336" s="120"/>
      <c r="K1336" s="404"/>
      <c r="L1336" s="120"/>
      <c r="M1336" s="120"/>
      <c r="N1336" s="120"/>
      <c r="O1336" s="404"/>
      <c r="P1336" s="127"/>
    </row>
    <row r="1337" spans="1:16" ht="15.75">
      <c r="A1337" s="260"/>
      <c r="B1337" s="118"/>
      <c r="C1337" s="132"/>
      <c r="D1337" s="129"/>
      <c r="E1337" s="129"/>
      <c r="F1337" s="130"/>
      <c r="G1337" s="134"/>
      <c r="H1337" s="120"/>
      <c r="I1337" s="417"/>
      <c r="J1337" s="120"/>
      <c r="K1337" s="404"/>
      <c r="L1337" s="120"/>
      <c r="M1337" s="120"/>
      <c r="N1337" s="120"/>
      <c r="O1337" s="404"/>
      <c r="P1337" s="127"/>
    </row>
    <row r="1338" spans="1:16" ht="15.75">
      <c r="A1338" s="260"/>
      <c r="B1338" s="118"/>
      <c r="C1338" s="132" t="s">
        <v>110</v>
      </c>
      <c r="D1338" s="129"/>
      <c r="E1338" s="129"/>
      <c r="F1338" s="130"/>
      <c r="G1338" s="134" t="s">
        <v>103</v>
      </c>
      <c r="H1338" s="120">
        <v>2.0099999999999998</v>
      </c>
      <c r="I1338" s="417">
        <v>43.96</v>
      </c>
      <c r="J1338" s="120">
        <v>54.51</v>
      </c>
      <c r="K1338" s="404"/>
      <c r="L1338" s="120">
        <f>K1338+J1338</f>
        <v>54.51</v>
      </c>
      <c r="M1338" s="120">
        <f>H1338*I1338</f>
        <v>88.359599999999986</v>
      </c>
      <c r="N1338" s="120">
        <f>H1338*J1338</f>
        <v>109.56509999999999</v>
      </c>
      <c r="O1338" s="404">
        <f>K1338*H1338</f>
        <v>0</v>
      </c>
      <c r="P1338" s="127">
        <f>H1338*L1338</f>
        <v>109.56509999999999</v>
      </c>
    </row>
    <row r="1339" spans="1:16" ht="15.75">
      <c r="A1339" s="260"/>
      <c r="B1339" s="118"/>
      <c r="C1339" s="132"/>
      <c r="D1339" s="129"/>
      <c r="E1339" s="129"/>
      <c r="F1339" s="130"/>
      <c r="G1339" s="134"/>
      <c r="H1339" s="120"/>
      <c r="I1339" s="417"/>
      <c r="J1339" s="120"/>
      <c r="K1339" s="404"/>
      <c r="L1339" s="120"/>
      <c r="M1339" s="120"/>
      <c r="N1339" s="120"/>
      <c r="O1339" s="404"/>
      <c r="P1339" s="127"/>
    </row>
    <row r="1340" spans="1:16" ht="15.75">
      <c r="A1340" s="260"/>
      <c r="B1340" s="118"/>
      <c r="C1340" s="132" t="s">
        <v>109</v>
      </c>
      <c r="D1340" s="129"/>
      <c r="E1340" s="129"/>
      <c r="F1340" s="130"/>
      <c r="G1340" s="134" t="s">
        <v>103</v>
      </c>
      <c r="H1340" s="120">
        <v>1.59</v>
      </c>
      <c r="I1340" s="417">
        <v>76.66</v>
      </c>
      <c r="J1340" s="120">
        <v>132.13</v>
      </c>
      <c r="K1340" s="404"/>
      <c r="L1340" s="120">
        <f>K1340+J1340</f>
        <v>132.13</v>
      </c>
      <c r="M1340" s="120">
        <f>H1340*I1340</f>
        <v>121.88939999999999</v>
      </c>
      <c r="N1340" s="120">
        <f>H1340*J1340</f>
        <v>210.08670000000001</v>
      </c>
      <c r="O1340" s="404">
        <f>K1340*H1340</f>
        <v>0</v>
      </c>
      <c r="P1340" s="127">
        <f>H1340*L1340</f>
        <v>210.08670000000001</v>
      </c>
    </row>
    <row r="1341" spans="1:16" ht="15.75">
      <c r="A1341" s="260"/>
      <c r="B1341" s="118"/>
      <c r="C1341" s="132"/>
      <c r="D1341" s="129"/>
      <c r="E1341" s="129"/>
      <c r="F1341" s="130"/>
      <c r="G1341" s="134"/>
      <c r="H1341" s="120"/>
      <c r="I1341" s="417"/>
      <c r="J1341" s="120"/>
      <c r="K1341" s="404"/>
      <c r="L1341" s="120">
        <f t="shared" ref="L1341:L1343" si="399">K1341+J1341</f>
        <v>0</v>
      </c>
      <c r="M1341" s="120"/>
      <c r="N1341" s="120"/>
      <c r="O1341" s="404"/>
      <c r="P1341" s="127"/>
    </row>
    <row r="1342" spans="1:16" ht="15.75">
      <c r="A1342" s="260"/>
      <c r="B1342" s="118"/>
      <c r="C1342" s="128" t="s">
        <v>514</v>
      </c>
      <c r="D1342" s="133"/>
      <c r="E1342" s="129"/>
      <c r="F1342" s="130"/>
      <c r="G1342" s="134"/>
      <c r="H1342" s="120"/>
      <c r="I1342" s="417"/>
      <c r="J1342" s="120"/>
      <c r="K1342" s="404"/>
      <c r="L1342" s="120">
        <f t="shared" si="399"/>
        <v>0</v>
      </c>
      <c r="M1342" s="120"/>
      <c r="N1342" s="120"/>
      <c r="O1342" s="404"/>
      <c r="P1342" s="127"/>
    </row>
    <row r="1343" spans="1:16" ht="18">
      <c r="A1343" s="260"/>
      <c r="B1343" s="118"/>
      <c r="C1343" s="132" t="s">
        <v>515</v>
      </c>
      <c r="D1343" s="129"/>
      <c r="E1343" s="129"/>
      <c r="F1343" s="130"/>
      <c r="G1343" s="134" t="s">
        <v>275</v>
      </c>
      <c r="H1343" s="120">
        <v>153.52000000000001</v>
      </c>
      <c r="I1343" s="417">
        <v>50.54</v>
      </c>
      <c r="J1343" s="120">
        <v>50.54</v>
      </c>
      <c r="K1343" s="404"/>
      <c r="L1343" s="120">
        <f t="shared" si="399"/>
        <v>50.54</v>
      </c>
      <c r="M1343" s="120">
        <f>H1343*I1343</f>
        <v>7758.9008000000003</v>
      </c>
      <c r="N1343" s="120">
        <f>H1343*J1343</f>
        <v>7758.9008000000003</v>
      </c>
      <c r="O1343" s="404">
        <f>K1343*H1343</f>
        <v>0</v>
      </c>
      <c r="P1343" s="127">
        <f>H1343*L1343</f>
        <v>7758.9008000000003</v>
      </c>
    </row>
    <row r="1344" spans="1:16" ht="15.75">
      <c r="A1344" s="260"/>
      <c r="B1344" s="118"/>
      <c r="C1344" s="132"/>
      <c r="D1344" s="129"/>
      <c r="E1344" s="129"/>
      <c r="F1344" s="130"/>
      <c r="G1344" s="134"/>
      <c r="H1344" s="120"/>
      <c r="I1344" s="417"/>
      <c r="J1344" s="120"/>
      <c r="K1344" s="404"/>
      <c r="L1344" s="120"/>
      <c r="M1344" s="120"/>
      <c r="N1344" s="120"/>
      <c r="O1344" s="404"/>
      <c r="P1344" s="127"/>
    </row>
    <row r="1345" spans="1:16" ht="15.75">
      <c r="A1345" s="260"/>
      <c r="B1345" s="118"/>
      <c r="C1345" s="128" t="s">
        <v>516</v>
      </c>
      <c r="D1345" s="133"/>
      <c r="E1345" s="129"/>
      <c r="F1345" s="130"/>
      <c r="G1345" s="134"/>
      <c r="H1345" s="120"/>
      <c r="I1345" s="417"/>
      <c r="J1345" s="120"/>
      <c r="K1345" s="404"/>
      <c r="L1345" s="120"/>
      <c r="M1345" s="120"/>
      <c r="N1345" s="120"/>
      <c r="O1345" s="404"/>
      <c r="P1345" s="127"/>
    </row>
    <row r="1346" spans="1:16" ht="18">
      <c r="A1346" s="260"/>
      <c r="B1346" s="118"/>
      <c r="C1346" s="132" t="s">
        <v>517</v>
      </c>
      <c r="D1346" s="129"/>
      <c r="E1346" s="129"/>
      <c r="F1346" s="130"/>
      <c r="G1346" s="134" t="s">
        <v>275</v>
      </c>
      <c r="H1346" s="120">
        <v>128.79</v>
      </c>
      <c r="I1346" s="417">
        <v>33</v>
      </c>
      <c r="J1346" s="120">
        <v>33</v>
      </c>
      <c r="K1346" s="404"/>
      <c r="L1346" s="120">
        <f>K1346+J1346</f>
        <v>33</v>
      </c>
      <c r="M1346" s="120">
        <f>H1346*I1346</f>
        <v>4250.07</v>
      </c>
      <c r="N1346" s="120">
        <f>H1346*J1346</f>
        <v>4250.07</v>
      </c>
      <c r="O1346" s="404">
        <f>K1346*H1346</f>
        <v>0</v>
      </c>
      <c r="P1346" s="127">
        <f>H1346*L1346</f>
        <v>4250.07</v>
      </c>
    </row>
    <row r="1347" spans="1:16" ht="15.75">
      <c r="A1347" s="260"/>
      <c r="B1347" s="118"/>
      <c r="C1347" s="132"/>
      <c r="D1347" s="129"/>
      <c r="E1347" s="129"/>
      <c r="F1347" s="130"/>
      <c r="G1347" s="134"/>
      <c r="H1347" s="120"/>
      <c r="I1347" s="417"/>
      <c r="J1347" s="120"/>
      <c r="K1347" s="404"/>
      <c r="L1347" s="120"/>
      <c r="M1347" s="120"/>
      <c r="N1347" s="120"/>
      <c r="O1347" s="404"/>
      <c r="P1347" s="127"/>
    </row>
    <row r="1348" spans="1:16" ht="15.75">
      <c r="A1348" s="260"/>
      <c r="B1348" s="118"/>
      <c r="C1348" s="128" t="s">
        <v>518</v>
      </c>
      <c r="D1348" s="133"/>
      <c r="E1348" s="133"/>
      <c r="F1348" s="141"/>
      <c r="G1348" s="134"/>
      <c r="H1348" s="120"/>
      <c r="I1348" s="417"/>
      <c r="J1348" s="120"/>
      <c r="K1348" s="404"/>
      <c r="L1348" s="120"/>
      <c r="M1348" s="120"/>
      <c r="N1348" s="120"/>
      <c r="O1348" s="404"/>
      <c r="P1348" s="127"/>
    </row>
    <row r="1349" spans="1:16" ht="15.75">
      <c r="A1349" s="260"/>
      <c r="B1349" s="118"/>
      <c r="C1349" s="132"/>
      <c r="D1349" s="129"/>
      <c r="E1349" s="129"/>
      <c r="F1349" s="130"/>
      <c r="G1349" s="134"/>
      <c r="H1349" s="120"/>
      <c r="I1349" s="417"/>
      <c r="J1349" s="120"/>
      <c r="K1349" s="404"/>
      <c r="L1349" s="120"/>
      <c r="M1349" s="120"/>
      <c r="N1349" s="120"/>
      <c r="O1349" s="404"/>
      <c r="P1349" s="127"/>
    </row>
    <row r="1350" spans="1:16" ht="15.75">
      <c r="A1350" s="260"/>
      <c r="B1350" s="118">
        <v>6.01</v>
      </c>
      <c r="C1350" s="132" t="s">
        <v>519</v>
      </c>
      <c r="D1350" s="129"/>
      <c r="E1350" s="129"/>
      <c r="F1350" s="130"/>
      <c r="G1350" s="134"/>
      <c r="H1350" s="120"/>
      <c r="I1350" s="417"/>
      <c r="J1350" s="120"/>
      <c r="K1350" s="404"/>
      <c r="L1350" s="120"/>
      <c r="M1350" s="120"/>
      <c r="N1350" s="120"/>
      <c r="O1350" s="404"/>
      <c r="P1350" s="127"/>
    </row>
    <row r="1351" spans="1:16" ht="15.75">
      <c r="A1351" s="260"/>
      <c r="B1351" s="118"/>
      <c r="C1351" s="132" t="s">
        <v>520</v>
      </c>
      <c r="D1351" s="129"/>
      <c r="E1351" s="129"/>
      <c r="F1351" s="130"/>
      <c r="G1351" s="134" t="s">
        <v>103</v>
      </c>
      <c r="H1351" s="120">
        <v>21.13</v>
      </c>
      <c r="I1351" s="417">
        <v>89.87</v>
      </c>
      <c r="J1351" s="120">
        <v>89.87</v>
      </c>
      <c r="K1351" s="404"/>
      <c r="L1351" s="120">
        <f>K1351+J1351</f>
        <v>89.87</v>
      </c>
      <c r="M1351" s="120">
        <f>H1351*I1351</f>
        <v>1898.9530999999999</v>
      </c>
      <c r="N1351" s="120">
        <f>H1351*J1351</f>
        <v>1898.9530999999999</v>
      </c>
      <c r="O1351" s="404">
        <f>K1351*H1351</f>
        <v>0</v>
      </c>
      <c r="P1351" s="127">
        <f>H1351*L1351</f>
        <v>1898.9530999999999</v>
      </c>
    </row>
    <row r="1352" spans="1:16" ht="15.75">
      <c r="A1352" s="260"/>
      <c r="B1352" s="118"/>
      <c r="C1352" s="132"/>
      <c r="D1352" s="129"/>
      <c r="E1352" s="129"/>
      <c r="F1352" s="130"/>
      <c r="G1352" s="134"/>
      <c r="H1352" s="120"/>
      <c r="I1352" s="417"/>
      <c r="J1352" s="120"/>
      <c r="K1352" s="404"/>
      <c r="L1352" s="120"/>
      <c r="M1352" s="120"/>
      <c r="N1352" s="120"/>
      <c r="O1352" s="404"/>
      <c r="P1352" s="127"/>
    </row>
    <row r="1353" spans="1:16" ht="15.75">
      <c r="A1353" s="260"/>
      <c r="B1353" s="118"/>
      <c r="C1353" s="128" t="s">
        <v>521</v>
      </c>
      <c r="D1353" s="133"/>
      <c r="E1353" s="129"/>
      <c r="F1353" s="130"/>
      <c r="G1353" s="134"/>
      <c r="H1353" s="120"/>
      <c r="I1353" s="417"/>
      <c r="J1353" s="120"/>
      <c r="K1353" s="404"/>
      <c r="L1353" s="120"/>
      <c r="M1353" s="120"/>
      <c r="N1353" s="120"/>
      <c r="O1353" s="404"/>
      <c r="P1353" s="127"/>
    </row>
    <row r="1354" spans="1:16" ht="15.75">
      <c r="A1354" s="260"/>
      <c r="B1354" s="118"/>
      <c r="C1354" s="132"/>
      <c r="D1354" s="129"/>
      <c r="E1354" s="129"/>
      <c r="F1354" s="130"/>
      <c r="G1354" s="134"/>
      <c r="H1354" s="120"/>
      <c r="I1354" s="417"/>
      <c r="J1354" s="120"/>
      <c r="K1354" s="404"/>
      <c r="L1354" s="120"/>
      <c r="M1354" s="120"/>
      <c r="N1354" s="120"/>
      <c r="O1354" s="404"/>
      <c r="P1354" s="127"/>
    </row>
    <row r="1355" spans="1:16" ht="15.75">
      <c r="A1355" s="260"/>
      <c r="B1355" s="118">
        <v>7.01</v>
      </c>
      <c r="C1355" s="132" t="s">
        <v>522</v>
      </c>
      <c r="D1355" s="129"/>
      <c r="E1355" s="129"/>
      <c r="F1355" s="130"/>
      <c r="G1355" s="134"/>
      <c r="H1355" s="120"/>
      <c r="I1355" s="417"/>
      <c r="J1355" s="120"/>
      <c r="K1355" s="404"/>
      <c r="L1355" s="120"/>
      <c r="M1355" s="120"/>
      <c r="N1355" s="120"/>
      <c r="O1355" s="404"/>
      <c r="P1355" s="127"/>
    </row>
    <row r="1356" spans="1:16" ht="18">
      <c r="A1356" s="260"/>
      <c r="B1356" s="118"/>
      <c r="C1356" s="132" t="s">
        <v>523</v>
      </c>
      <c r="D1356" s="129"/>
      <c r="E1356" s="129"/>
      <c r="F1356" s="130"/>
      <c r="G1356" s="134" t="s">
        <v>275</v>
      </c>
      <c r="H1356" s="120">
        <v>54.7</v>
      </c>
      <c r="I1356" s="417">
        <v>42.28</v>
      </c>
      <c r="J1356" s="120">
        <v>46.81</v>
      </c>
      <c r="K1356" s="404">
        <v>0</v>
      </c>
      <c r="L1356" s="120">
        <f>K1356+J1356</f>
        <v>46.81</v>
      </c>
      <c r="M1356" s="120">
        <f>H1356*I1356</f>
        <v>2312.7160000000003</v>
      </c>
      <c r="N1356" s="120">
        <f>H1356*J1356</f>
        <v>2560.5070000000001</v>
      </c>
      <c r="O1356" s="404">
        <f>K1356*H1356</f>
        <v>0</v>
      </c>
      <c r="P1356" s="127">
        <f>H1356*L1356</f>
        <v>2560.5070000000001</v>
      </c>
    </row>
    <row r="1357" spans="1:16" ht="15.75">
      <c r="A1357" s="260"/>
      <c r="B1357" s="118"/>
      <c r="C1357" s="132"/>
      <c r="D1357" s="129"/>
      <c r="E1357" s="129"/>
      <c r="F1357" s="130"/>
      <c r="G1357" s="134"/>
      <c r="H1357" s="120"/>
      <c r="I1357" s="417"/>
      <c r="J1357" s="120"/>
      <c r="K1357" s="404"/>
      <c r="L1357" s="120"/>
      <c r="M1357" s="120"/>
      <c r="N1357" s="120"/>
      <c r="O1357" s="404"/>
      <c r="P1357" s="127"/>
    </row>
    <row r="1358" spans="1:16" ht="15.75">
      <c r="A1358" s="260"/>
      <c r="B1358" s="118">
        <v>7.02</v>
      </c>
      <c r="C1358" s="132" t="s">
        <v>524</v>
      </c>
      <c r="D1358" s="129"/>
      <c r="E1358" s="129"/>
      <c r="F1358" s="130"/>
      <c r="G1358" s="134"/>
      <c r="H1358" s="120"/>
      <c r="I1358" s="417"/>
      <c r="J1358" s="120"/>
      <c r="K1358" s="404"/>
      <c r="L1358" s="120"/>
      <c r="M1358" s="120"/>
      <c r="N1358" s="120"/>
      <c r="O1358" s="404"/>
      <c r="P1358" s="127"/>
    </row>
    <row r="1359" spans="1:16" ht="15.75">
      <c r="A1359" s="260"/>
      <c r="B1359" s="118"/>
      <c r="C1359" s="132" t="s">
        <v>525</v>
      </c>
      <c r="D1359" s="129"/>
      <c r="E1359" s="129"/>
      <c r="F1359" s="130"/>
      <c r="G1359" s="134"/>
      <c r="H1359" s="120"/>
      <c r="I1359" s="417"/>
      <c r="J1359" s="120"/>
      <c r="K1359" s="404"/>
      <c r="L1359" s="120"/>
      <c r="M1359" s="120"/>
      <c r="N1359" s="120"/>
      <c r="O1359" s="404"/>
      <c r="P1359" s="127"/>
    </row>
    <row r="1360" spans="1:16" ht="18">
      <c r="A1360" s="260"/>
      <c r="B1360" s="118"/>
      <c r="C1360" s="132" t="s">
        <v>526</v>
      </c>
      <c r="D1360" s="129"/>
      <c r="E1360" s="129"/>
      <c r="F1360" s="130"/>
      <c r="G1360" s="134" t="s">
        <v>275</v>
      </c>
      <c r="H1360" s="120">
        <v>69.16</v>
      </c>
      <c r="I1360" s="417">
        <v>68.540000000000006</v>
      </c>
      <c r="J1360" s="120">
        <v>54.21</v>
      </c>
      <c r="K1360" s="404">
        <v>0</v>
      </c>
      <c r="L1360" s="120">
        <f>K1360+J1360</f>
        <v>54.21</v>
      </c>
      <c r="M1360" s="120">
        <f>H1360*I1360</f>
        <v>4740.2264000000005</v>
      </c>
      <c r="N1360" s="120">
        <f>H1360*J1360</f>
        <v>3749.1635999999999</v>
      </c>
      <c r="O1360" s="404">
        <f>K1360*H1360</f>
        <v>0</v>
      </c>
      <c r="P1360" s="127">
        <f>H1360*L1360</f>
        <v>3749.1635999999999</v>
      </c>
    </row>
    <row r="1361" spans="1:16" ht="15.75">
      <c r="A1361" s="260"/>
      <c r="B1361" s="118"/>
      <c r="C1361" s="132"/>
      <c r="D1361" s="129"/>
      <c r="E1361" s="129"/>
      <c r="F1361" s="130"/>
      <c r="G1361" s="134"/>
      <c r="H1361" s="120"/>
      <c r="I1361" s="417"/>
      <c r="J1361" s="120"/>
      <c r="K1361" s="404"/>
      <c r="L1361" s="120"/>
      <c r="M1361" s="120"/>
      <c r="N1361" s="120"/>
      <c r="O1361" s="404"/>
      <c r="P1361" s="127"/>
    </row>
    <row r="1362" spans="1:16" ht="18">
      <c r="A1362" s="260"/>
      <c r="B1362" s="118">
        <v>7.03</v>
      </c>
      <c r="C1362" s="132" t="s">
        <v>527</v>
      </c>
      <c r="D1362" s="129"/>
      <c r="E1362" s="129"/>
      <c r="F1362" s="130"/>
      <c r="G1362" s="134" t="s">
        <v>275</v>
      </c>
      <c r="H1362" s="120">
        <v>60.05</v>
      </c>
      <c r="I1362" s="417">
        <v>19.7</v>
      </c>
      <c r="J1362" s="120">
        <v>20.12</v>
      </c>
      <c r="K1362" s="404">
        <v>0</v>
      </c>
      <c r="L1362" s="120">
        <f>K1362+J1362</f>
        <v>20.12</v>
      </c>
      <c r="M1362" s="120">
        <f>H1362*I1362</f>
        <v>1182.9849999999999</v>
      </c>
      <c r="N1362" s="120">
        <f>H1362*J1362</f>
        <v>1208.2059999999999</v>
      </c>
      <c r="O1362" s="404">
        <f>K1362*H1362</f>
        <v>0</v>
      </c>
      <c r="P1362" s="127">
        <f>H1362*L1362</f>
        <v>1208.2059999999999</v>
      </c>
    </row>
    <row r="1363" spans="1:16" ht="15.75">
      <c r="A1363" s="260"/>
      <c r="B1363" s="251"/>
      <c r="C1363" s="156"/>
      <c r="D1363" s="159"/>
      <c r="E1363" s="159"/>
      <c r="F1363" s="143"/>
      <c r="G1363" s="157"/>
      <c r="H1363" s="158"/>
      <c r="I1363" s="419"/>
      <c r="J1363" s="120"/>
      <c r="K1363" s="406"/>
      <c r="L1363" s="120"/>
      <c r="M1363" s="120"/>
      <c r="N1363" s="120"/>
      <c r="O1363" s="404"/>
      <c r="P1363" s="127"/>
    </row>
    <row r="1364" spans="1:16" ht="15.75">
      <c r="A1364" s="260"/>
      <c r="B1364" s="251">
        <v>7.05</v>
      </c>
      <c r="C1364" s="1413" t="s">
        <v>750</v>
      </c>
      <c r="D1364" s="1414"/>
      <c r="E1364" s="1414"/>
      <c r="F1364" s="1415"/>
      <c r="G1364" s="157"/>
      <c r="H1364" s="158"/>
      <c r="I1364" s="419"/>
      <c r="J1364" s="120"/>
      <c r="K1364" s="406"/>
      <c r="L1364" s="120"/>
      <c r="M1364" s="120"/>
      <c r="N1364" s="120"/>
      <c r="O1364" s="404"/>
      <c r="P1364" s="127"/>
    </row>
    <row r="1365" spans="1:16" ht="15.75">
      <c r="A1365" s="260"/>
      <c r="B1365" s="251"/>
      <c r="C1365" s="1440" t="s">
        <v>751</v>
      </c>
      <c r="D1365" s="1441"/>
      <c r="E1365" s="1441"/>
      <c r="F1365" s="1442"/>
      <c r="G1365" s="157"/>
      <c r="H1365" s="158"/>
      <c r="I1365" s="419"/>
      <c r="J1365" s="120"/>
      <c r="K1365" s="406"/>
      <c r="L1365" s="120"/>
      <c r="M1365" s="120"/>
      <c r="N1365" s="120"/>
      <c r="O1365" s="404"/>
      <c r="P1365" s="127"/>
    </row>
    <row r="1366" spans="1:16" ht="18">
      <c r="A1366" s="260"/>
      <c r="B1366" s="251"/>
      <c r="C1366" s="1413" t="s">
        <v>752</v>
      </c>
      <c r="D1366" s="1414"/>
      <c r="E1366" s="1414"/>
      <c r="F1366" s="1415"/>
      <c r="G1366" s="399" t="s">
        <v>275</v>
      </c>
      <c r="H1366" s="158">
        <v>121.36</v>
      </c>
      <c r="I1366" s="419">
        <v>29.76</v>
      </c>
      <c r="J1366" s="120">
        <v>24</v>
      </c>
      <c r="K1366" s="406">
        <v>0</v>
      </c>
      <c r="L1366" s="120">
        <f>K1366+J1366</f>
        <v>24</v>
      </c>
      <c r="M1366" s="120">
        <f>H1366*I1366</f>
        <v>3611.6736000000001</v>
      </c>
      <c r="N1366" s="120">
        <f>H1366*J1366</f>
        <v>2912.64</v>
      </c>
      <c r="O1366" s="404">
        <f>K1366*H1366</f>
        <v>0</v>
      </c>
      <c r="P1366" s="127">
        <f>H1366*L1366</f>
        <v>2912.64</v>
      </c>
    </row>
    <row r="1367" spans="1:16" ht="15.75">
      <c r="A1367" s="260"/>
      <c r="B1367" s="251"/>
      <c r="C1367" s="775"/>
      <c r="D1367" s="776"/>
      <c r="E1367" s="776"/>
      <c r="F1367" s="789"/>
      <c r="G1367" s="157"/>
      <c r="H1367" s="158"/>
      <c r="I1367" s="419"/>
      <c r="J1367" s="158"/>
      <c r="K1367" s="406"/>
      <c r="L1367" s="120">
        <f t="shared" ref="L1367:L1376" si="400">K1367+J1367</f>
        <v>0</v>
      </c>
      <c r="M1367" s="120">
        <f t="shared" ref="M1367:M1376" si="401">H1367*I1367</f>
        <v>0</v>
      </c>
      <c r="N1367" s="120">
        <f t="shared" ref="N1367:N1376" si="402">H1367*J1367</f>
        <v>0</v>
      </c>
      <c r="O1367" s="404">
        <f t="shared" ref="O1367:O1376" si="403">K1367*H1367</f>
        <v>0</v>
      </c>
      <c r="P1367" s="127">
        <f t="shared" ref="P1367:P1376" si="404">H1367*L1367</f>
        <v>0</v>
      </c>
    </row>
    <row r="1368" spans="1:16" ht="18">
      <c r="A1368" s="260"/>
      <c r="B1368" s="791" t="s">
        <v>1081</v>
      </c>
      <c r="C1368" s="792" t="s">
        <v>1082</v>
      </c>
      <c r="D1368" s="776"/>
      <c r="E1368" s="776"/>
      <c r="F1368" s="789"/>
      <c r="G1368" s="157"/>
      <c r="H1368" s="158"/>
      <c r="I1368" s="419"/>
      <c r="J1368" s="158"/>
      <c r="K1368" s="406"/>
      <c r="L1368" s="120">
        <f t="shared" si="400"/>
        <v>0</v>
      </c>
      <c r="M1368" s="120">
        <f t="shared" si="401"/>
        <v>0</v>
      </c>
      <c r="N1368" s="120">
        <f t="shared" si="402"/>
        <v>0</v>
      </c>
      <c r="O1368" s="404">
        <f t="shared" si="403"/>
        <v>0</v>
      </c>
      <c r="P1368" s="127">
        <f t="shared" si="404"/>
        <v>0</v>
      </c>
    </row>
    <row r="1369" spans="1:16" ht="15.75">
      <c r="A1369" s="260"/>
      <c r="B1369" s="251"/>
      <c r="C1369" s="775"/>
      <c r="D1369" s="776"/>
      <c r="E1369" s="776"/>
      <c r="F1369" s="789"/>
      <c r="G1369" s="157"/>
      <c r="H1369" s="158"/>
      <c r="I1369" s="419"/>
      <c r="J1369" s="158"/>
      <c r="K1369" s="406"/>
      <c r="L1369" s="120">
        <f t="shared" si="400"/>
        <v>0</v>
      </c>
      <c r="M1369" s="120">
        <f t="shared" si="401"/>
        <v>0</v>
      </c>
      <c r="N1369" s="120">
        <f t="shared" si="402"/>
        <v>0</v>
      </c>
      <c r="O1369" s="404">
        <f t="shared" si="403"/>
        <v>0</v>
      </c>
      <c r="P1369" s="127">
        <f t="shared" si="404"/>
        <v>0</v>
      </c>
    </row>
    <row r="1370" spans="1:16" ht="15.75">
      <c r="A1370" s="260"/>
      <c r="B1370" s="251">
        <v>1.1000000000000001</v>
      </c>
      <c r="C1370" s="775" t="s">
        <v>1083</v>
      </c>
      <c r="D1370" s="776"/>
      <c r="E1370" s="776"/>
      <c r="F1370" s="789"/>
      <c r="G1370" s="157"/>
      <c r="H1370" s="158"/>
      <c r="I1370" s="419"/>
      <c r="J1370" s="158"/>
      <c r="K1370" s="406"/>
      <c r="L1370" s="120">
        <f t="shared" si="400"/>
        <v>0</v>
      </c>
      <c r="M1370" s="120">
        <f t="shared" si="401"/>
        <v>0</v>
      </c>
      <c r="N1370" s="120">
        <f t="shared" si="402"/>
        <v>0</v>
      </c>
      <c r="O1370" s="404">
        <f t="shared" si="403"/>
        <v>0</v>
      </c>
      <c r="P1370" s="127">
        <f t="shared" si="404"/>
        <v>0</v>
      </c>
    </row>
    <row r="1371" spans="1:16" ht="15.75">
      <c r="A1371" s="260"/>
      <c r="B1371" s="251"/>
      <c r="C1371" s="775" t="s">
        <v>1084</v>
      </c>
      <c r="D1371" s="776"/>
      <c r="E1371" s="776"/>
      <c r="F1371" s="789"/>
      <c r="G1371" s="157" t="s">
        <v>592</v>
      </c>
      <c r="H1371" s="158">
        <v>16.149999999999999</v>
      </c>
      <c r="I1371" s="419">
        <v>90</v>
      </c>
      <c r="J1371" s="158">
        <v>325</v>
      </c>
      <c r="K1371" s="406">
        <v>0</v>
      </c>
      <c r="L1371" s="120">
        <f t="shared" si="400"/>
        <v>325</v>
      </c>
      <c r="M1371" s="120">
        <f t="shared" si="401"/>
        <v>1453.4999999999998</v>
      </c>
      <c r="N1371" s="120">
        <f t="shared" si="402"/>
        <v>5248.7499999999991</v>
      </c>
      <c r="O1371" s="404">
        <f t="shared" si="403"/>
        <v>0</v>
      </c>
      <c r="P1371" s="127">
        <f t="shared" si="404"/>
        <v>5248.7499999999991</v>
      </c>
    </row>
    <row r="1372" spans="1:16" ht="15.75">
      <c r="A1372" s="260"/>
      <c r="B1372" s="251"/>
      <c r="C1372" s="775" t="s">
        <v>76</v>
      </c>
      <c r="D1372" s="776"/>
      <c r="E1372" s="776"/>
      <c r="F1372" s="789"/>
      <c r="G1372" s="157"/>
      <c r="H1372" s="158"/>
      <c r="I1372" s="419"/>
      <c r="J1372" s="158"/>
      <c r="K1372" s="406"/>
      <c r="L1372" s="120">
        <f t="shared" si="400"/>
        <v>0</v>
      </c>
      <c r="M1372" s="120">
        <f t="shared" si="401"/>
        <v>0</v>
      </c>
      <c r="N1372" s="120">
        <f t="shared" si="402"/>
        <v>0</v>
      </c>
      <c r="O1372" s="404">
        <f t="shared" si="403"/>
        <v>0</v>
      </c>
      <c r="P1372" s="127">
        <f t="shared" si="404"/>
        <v>0</v>
      </c>
    </row>
    <row r="1373" spans="1:16" ht="18">
      <c r="A1373" s="260"/>
      <c r="B1373" s="251">
        <v>1.2</v>
      </c>
      <c r="C1373" s="775" t="s">
        <v>1085</v>
      </c>
      <c r="D1373" s="776"/>
      <c r="E1373" s="776"/>
      <c r="F1373" s="789"/>
      <c r="G1373" s="399" t="s">
        <v>273</v>
      </c>
      <c r="H1373" s="158">
        <v>175.79</v>
      </c>
      <c r="I1373" s="419">
        <v>43.2</v>
      </c>
      <c r="J1373" s="158">
        <v>15.6</v>
      </c>
      <c r="K1373" s="406">
        <v>0</v>
      </c>
      <c r="L1373" s="120">
        <f t="shared" si="400"/>
        <v>15.6</v>
      </c>
      <c r="M1373" s="120">
        <f t="shared" si="401"/>
        <v>7594.1279999999997</v>
      </c>
      <c r="N1373" s="120">
        <f t="shared" si="402"/>
        <v>2742.3239999999996</v>
      </c>
      <c r="O1373" s="404">
        <f t="shared" si="403"/>
        <v>0</v>
      </c>
      <c r="P1373" s="127">
        <f t="shared" si="404"/>
        <v>2742.3239999999996</v>
      </c>
    </row>
    <row r="1374" spans="1:16" ht="15.75">
      <c r="A1374" s="260"/>
      <c r="B1374" s="251"/>
      <c r="C1374" s="775"/>
      <c r="D1374" s="776"/>
      <c r="E1374" s="776"/>
      <c r="F1374" s="789"/>
      <c r="G1374" s="157"/>
      <c r="H1374" s="158"/>
      <c r="I1374" s="419"/>
      <c r="J1374" s="158"/>
      <c r="K1374" s="406"/>
      <c r="L1374" s="120">
        <f t="shared" si="400"/>
        <v>0</v>
      </c>
      <c r="M1374" s="120">
        <f t="shared" si="401"/>
        <v>0</v>
      </c>
      <c r="N1374" s="120">
        <f t="shared" si="402"/>
        <v>0</v>
      </c>
      <c r="O1374" s="404">
        <f t="shared" si="403"/>
        <v>0</v>
      </c>
      <c r="P1374" s="127">
        <f t="shared" si="404"/>
        <v>0</v>
      </c>
    </row>
    <row r="1375" spans="1:16" ht="15.75">
      <c r="A1375" s="260"/>
      <c r="B1375" s="251">
        <v>1.3</v>
      </c>
      <c r="C1375" s="775" t="s">
        <v>1086</v>
      </c>
      <c r="D1375" s="776"/>
      <c r="E1375" s="776"/>
      <c r="F1375" s="789"/>
      <c r="G1375" s="157" t="s">
        <v>592</v>
      </c>
      <c r="H1375" s="158">
        <v>5</v>
      </c>
      <c r="I1375" s="419">
        <v>90</v>
      </c>
      <c r="J1375" s="158">
        <v>325</v>
      </c>
      <c r="K1375" s="406">
        <v>0</v>
      </c>
      <c r="L1375" s="120">
        <f t="shared" si="400"/>
        <v>325</v>
      </c>
      <c r="M1375" s="120">
        <f t="shared" si="401"/>
        <v>450</v>
      </c>
      <c r="N1375" s="120">
        <f t="shared" si="402"/>
        <v>1625</v>
      </c>
      <c r="O1375" s="404">
        <f t="shared" si="403"/>
        <v>0</v>
      </c>
      <c r="P1375" s="127">
        <f t="shared" si="404"/>
        <v>1625</v>
      </c>
    </row>
    <row r="1376" spans="1:16" ht="15.75">
      <c r="A1376" s="260"/>
      <c r="B1376" s="251"/>
      <c r="C1376" s="775"/>
      <c r="D1376" s="776"/>
      <c r="E1376" s="776"/>
      <c r="F1376" s="789"/>
      <c r="G1376" s="157"/>
      <c r="H1376" s="158"/>
      <c r="I1376" s="419"/>
      <c r="J1376" s="158"/>
      <c r="K1376" s="406"/>
      <c r="L1376" s="120">
        <f t="shared" si="400"/>
        <v>0</v>
      </c>
      <c r="M1376" s="120">
        <f t="shared" si="401"/>
        <v>0</v>
      </c>
      <c r="N1376" s="120">
        <f t="shared" si="402"/>
        <v>0</v>
      </c>
      <c r="O1376" s="404">
        <f t="shared" si="403"/>
        <v>0</v>
      </c>
      <c r="P1376" s="127">
        <f t="shared" si="404"/>
        <v>0</v>
      </c>
    </row>
    <row r="1377" spans="1:16" ht="16.5" thickBot="1">
      <c r="A1377" s="260"/>
      <c r="B1377" s="251"/>
      <c r="C1377" s="156"/>
      <c r="D1377" s="159"/>
      <c r="E1377" s="159"/>
      <c r="F1377" s="143"/>
      <c r="G1377" s="157"/>
      <c r="H1377" s="158"/>
      <c r="I1377" s="419"/>
      <c r="J1377" s="158"/>
      <c r="K1377" s="406"/>
      <c r="L1377" s="158"/>
      <c r="M1377" s="158"/>
      <c r="N1377" s="158"/>
      <c r="O1377" s="406"/>
      <c r="P1377" s="160"/>
    </row>
    <row r="1378" spans="1:16" ht="17.25" thickTop="1" thickBot="1">
      <c r="A1378" s="260"/>
      <c r="B1378" s="257"/>
      <c r="C1378" s="277" t="s">
        <v>312</v>
      </c>
      <c r="D1378" s="278"/>
      <c r="E1378" s="278"/>
      <c r="F1378" s="279"/>
      <c r="G1378" s="280"/>
      <c r="H1378" s="281"/>
      <c r="I1378" s="420"/>
      <c r="J1378" s="281"/>
      <c r="K1378" s="407"/>
      <c r="L1378" s="259"/>
      <c r="M1378" s="259">
        <f>SUM(M1279:M1377)</f>
        <v>52315.643899999995</v>
      </c>
      <c r="N1378" s="259">
        <f>SUM(N1279:N1377)</f>
        <v>56598.489399999991</v>
      </c>
      <c r="O1378" s="407">
        <f>SUM(O1279:O1377)</f>
        <v>0</v>
      </c>
      <c r="P1378" s="525">
        <f>SUM(P1279:P1377)</f>
        <v>56598.489399999991</v>
      </c>
    </row>
    <row r="1379" spans="1:16" ht="16.5" thickTop="1">
      <c r="A1379" s="260"/>
      <c r="B1379" s="254"/>
      <c r="C1379" s="261"/>
      <c r="D1379" s="262"/>
      <c r="E1379" s="262"/>
      <c r="F1379" s="263"/>
      <c r="G1379" s="264"/>
      <c r="H1379" s="246"/>
      <c r="I1379" s="416"/>
      <c r="J1379" s="246"/>
      <c r="K1379" s="403"/>
      <c r="L1379" s="246"/>
      <c r="M1379" s="246"/>
      <c r="N1379" s="246"/>
      <c r="O1379" s="403"/>
      <c r="P1379" s="272"/>
    </row>
    <row r="1380" spans="1:16" s="330" customFormat="1" ht="18">
      <c r="A1380" s="329"/>
      <c r="B1380" s="452">
        <v>3</v>
      </c>
      <c r="C1380" s="453" t="s">
        <v>278</v>
      </c>
      <c r="D1380" s="454"/>
      <c r="E1380" s="206"/>
      <c r="F1380" s="207"/>
      <c r="G1380" s="208"/>
      <c r="H1380" s="209"/>
      <c r="I1380" s="427"/>
      <c r="J1380" s="209"/>
      <c r="K1380" s="411"/>
      <c r="L1380" s="209"/>
      <c r="M1380" s="209"/>
      <c r="N1380" s="209"/>
      <c r="O1380" s="411"/>
      <c r="P1380" s="210"/>
    </row>
    <row r="1381" spans="1:16" ht="15.75">
      <c r="A1381" s="260"/>
      <c r="B1381" s="118"/>
      <c r="C1381" s="132"/>
      <c r="D1381" s="129"/>
      <c r="E1381" s="129"/>
      <c r="F1381" s="130"/>
      <c r="G1381" s="134"/>
      <c r="H1381" s="120"/>
      <c r="I1381" s="417"/>
      <c r="J1381" s="120"/>
      <c r="K1381" s="404"/>
      <c r="L1381" s="120"/>
      <c r="M1381" s="120"/>
      <c r="N1381" s="120"/>
      <c r="O1381" s="404"/>
      <c r="P1381" s="127"/>
    </row>
    <row r="1382" spans="1:16" ht="15.75">
      <c r="A1382" s="260"/>
      <c r="B1382" s="118"/>
      <c r="C1382" s="128" t="s">
        <v>446</v>
      </c>
      <c r="D1382" s="133"/>
      <c r="E1382" s="133"/>
      <c r="F1382" s="141"/>
      <c r="G1382" s="134"/>
      <c r="H1382" s="120"/>
      <c r="I1382" s="417"/>
      <c r="J1382" s="120"/>
      <c r="K1382" s="404"/>
      <c r="L1382" s="120"/>
      <c r="M1382" s="120"/>
      <c r="N1382" s="120"/>
      <c r="O1382" s="404"/>
      <c r="P1382" s="127"/>
    </row>
    <row r="1383" spans="1:16" ht="15.75">
      <c r="A1383" s="260"/>
      <c r="B1383" s="118"/>
      <c r="C1383" s="128"/>
      <c r="D1383" s="133"/>
      <c r="E1383" s="133"/>
      <c r="F1383" s="141"/>
      <c r="G1383" s="134"/>
      <c r="H1383" s="120"/>
      <c r="I1383" s="417"/>
      <c r="J1383" s="120"/>
      <c r="K1383" s="404"/>
      <c r="L1383" s="120"/>
      <c r="M1383" s="120"/>
      <c r="N1383" s="120"/>
      <c r="O1383" s="404"/>
      <c r="P1383" s="127"/>
    </row>
    <row r="1384" spans="1:16" ht="15.75">
      <c r="A1384" s="260"/>
      <c r="B1384" s="118"/>
      <c r="C1384" s="132" t="s">
        <v>670</v>
      </c>
      <c r="D1384" s="133"/>
      <c r="E1384" s="133"/>
      <c r="F1384" s="141"/>
      <c r="G1384" s="134" t="s">
        <v>492</v>
      </c>
      <c r="H1384" s="120">
        <v>4000</v>
      </c>
      <c r="I1384" s="417">
        <v>1</v>
      </c>
      <c r="J1384" s="120">
        <v>1</v>
      </c>
      <c r="K1384" s="404"/>
      <c r="L1384" s="120">
        <f>K1384+J1384</f>
        <v>1</v>
      </c>
      <c r="M1384" s="120">
        <f>H1384*I1384</f>
        <v>4000</v>
      </c>
      <c r="N1384" s="120">
        <f>H1384*J1384</f>
        <v>4000</v>
      </c>
      <c r="O1384" s="404">
        <f>K1384*H1384</f>
        <v>0</v>
      </c>
      <c r="P1384" s="127">
        <f>H1384*L1384</f>
        <v>4000</v>
      </c>
    </row>
    <row r="1385" spans="1:16" ht="15.75">
      <c r="A1385" s="260"/>
      <c r="B1385" s="118"/>
      <c r="C1385" s="132" t="s">
        <v>540</v>
      </c>
      <c r="D1385" s="129"/>
      <c r="E1385" s="129"/>
      <c r="F1385" s="130"/>
      <c r="G1385" s="134" t="s">
        <v>492</v>
      </c>
      <c r="H1385" s="120">
        <v>3000</v>
      </c>
      <c r="I1385" s="417">
        <v>2</v>
      </c>
      <c r="J1385" s="120">
        <v>1</v>
      </c>
      <c r="K1385" s="404"/>
      <c r="L1385" s="120">
        <f>K1385+J1385</f>
        <v>1</v>
      </c>
      <c r="M1385" s="120">
        <f>H1385*I1385</f>
        <v>6000</v>
      </c>
      <c r="N1385" s="120">
        <f>H1385*J1385</f>
        <v>3000</v>
      </c>
      <c r="O1385" s="404">
        <f>K1385*H1385</f>
        <v>0</v>
      </c>
      <c r="P1385" s="127">
        <f>H1385*L1385</f>
        <v>3000</v>
      </c>
    </row>
    <row r="1386" spans="1:16" ht="15.75">
      <c r="A1386" s="260"/>
      <c r="B1386" s="118"/>
      <c r="C1386" s="132" t="s">
        <v>447</v>
      </c>
      <c r="D1386" s="129"/>
      <c r="E1386" s="129"/>
      <c r="F1386" s="130"/>
      <c r="G1386" s="134" t="s">
        <v>492</v>
      </c>
      <c r="H1386" s="120">
        <v>4500</v>
      </c>
      <c r="I1386" s="417">
        <v>1</v>
      </c>
      <c r="J1386" s="120">
        <v>2</v>
      </c>
      <c r="K1386" s="404"/>
      <c r="L1386" s="120">
        <f>K1386+J1386</f>
        <v>2</v>
      </c>
      <c r="M1386" s="120">
        <f>H1386*I1386</f>
        <v>4500</v>
      </c>
      <c r="N1386" s="120">
        <f>H1386*J1386</f>
        <v>9000</v>
      </c>
      <c r="O1386" s="404">
        <f>K1386*H1386</f>
        <v>0</v>
      </c>
      <c r="P1386" s="127">
        <f>H1386*L1386</f>
        <v>9000</v>
      </c>
    </row>
    <row r="1387" spans="1:16" ht="15.75">
      <c r="A1387" s="260"/>
      <c r="B1387" s="118"/>
      <c r="C1387" s="132" t="s">
        <v>448</v>
      </c>
      <c r="D1387" s="129"/>
      <c r="E1387" s="129"/>
      <c r="F1387" s="130"/>
      <c r="G1387" s="134" t="s">
        <v>492</v>
      </c>
      <c r="H1387" s="120">
        <v>4000</v>
      </c>
      <c r="I1387" s="417">
        <v>1</v>
      </c>
      <c r="J1387" s="120">
        <v>2</v>
      </c>
      <c r="K1387" s="404"/>
      <c r="L1387" s="120">
        <f>K1387+J1387</f>
        <v>2</v>
      </c>
      <c r="M1387" s="120">
        <f>H1387*I1387</f>
        <v>4000</v>
      </c>
      <c r="N1387" s="120">
        <f>H1387*J1387</f>
        <v>8000</v>
      </c>
      <c r="O1387" s="404">
        <f>K1387*H1387</f>
        <v>0</v>
      </c>
      <c r="P1387" s="127">
        <f>H1387*L1387</f>
        <v>8000</v>
      </c>
    </row>
    <row r="1388" spans="1:16" ht="15.75">
      <c r="A1388" s="260"/>
      <c r="B1388" s="118"/>
      <c r="C1388" s="128"/>
      <c r="D1388" s="133"/>
      <c r="E1388" s="129"/>
      <c r="F1388" s="130"/>
      <c r="G1388" s="134"/>
      <c r="H1388" s="120"/>
      <c r="I1388" s="417"/>
      <c r="J1388" s="120"/>
      <c r="K1388" s="404"/>
      <c r="L1388" s="120"/>
      <c r="M1388" s="120"/>
      <c r="N1388" s="120"/>
      <c r="O1388" s="404"/>
      <c r="P1388" s="127"/>
    </row>
    <row r="1389" spans="1:16" ht="15.75">
      <c r="A1389" s="260"/>
      <c r="B1389" s="118"/>
      <c r="C1389" s="128" t="s">
        <v>449</v>
      </c>
      <c r="D1389" s="133"/>
      <c r="E1389" s="133"/>
      <c r="F1389" s="130"/>
      <c r="G1389" s="134"/>
      <c r="H1389" s="120"/>
      <c r="I1389" s="417"/>
      <c r="J1389" s="120"/>
      <c r="K1389" s="404"/>
      <c r="L1389" s="120"/>
      <c r="M1389" s="120"/>
      <c r="N1389" s="120"/>
      <c r="O1389" s="404"/>
      <c r="P1389" s="127"/>
    </row>
    <row r="1390" spans="1:16" ht="15.75">
      <c r="A1390" s="260"/>
      <c r="B1390" s="118"/>
      <c r="C1390" s="132"/>
      <c r="D1390" s="129"/>
      <c r="E1390" s="129"/>
      <c r="F1390" s="130"/>
      <c r="G1390" s="134"/>
      <c r="H1390" s="120">
        <v>120</v>
      </c>
      <c r="I1390" s="417">
        <v>295.41000000000003</v>
      </c>
      <c r="J1390" s="120">
        <v>1</v>
      </c>
      <c r="K1390" s="404"/>
      <c r="L1390" s="120">
        <f>K1390+J1390</f>
        <v>1</v>
      </c>
      <c r="M1390" s="120">
        <f t="shared" ref="M1390:M1411" si="405">H1390*I1390</f>
        <v>35449.200000000004</v>
      </c>
      <c r="N1390" s="120">
        <f t="shared" ref="N1390:N1411" si="406">H1390*J1390</f>
        <v>120</v>
      </c>
      <c r="O1390" s="404">
        <f>K1390*H1390</f>
        <v>0</v>
      </c>
      <c r="P1390" s="127">
        <f>H1390*L1390</f>
        <v>120</v>
      </c>
    </row>
    <row r="1391" spans="1:16" ht="15.75">
      <c r="A1391" s="260"/>
      <c r="B1391" s="118"/>
      <c r="C1391" s="132" t="s">
        <v>671</v>
      </c>
      <c r="D1391" s="129"/>
      <c r="E1391" s="129"/>
      <c r="F1391" s="130"/>
      <c r="G1391" s="134"/>
      <c r="H1391" s="120"/>
      <c r="I1391" s="417"/>
      <c r="J1391" s="120"/>
      <c r="K1391" s="404"/>
      <c r="L1391" s="120"/>
      <c r="M1391" s="120"/>
      <c r="N1391" s="120"/>
      <c r="O1391" s="404"/>
      <c r="P1391" s="127"/>
    </row>
    <row r="1392" spans="1:16" ht="15.75">
      <c r="A1392" s="260"/>
      <c r="B1392" s="118"/>
      <c r="C1392" s="132" t="s">
        <v>450</v>
      </c>
      <c r="D1392" s="129"/>
      <c r="E1392" s="129"/>
      <c r="F1392" s="130"/>
      <c r="G1392" s="134" t="s">
        <v>492</v>
      </c>
      <c r="H1392" s="120">
        <v>3000</v>
      </c>
      <c r="I1392" s="417">
        <v>1</v>
      </c>
      <c r="J1392" s="120">
        <v>1</v>
      </c>
      <c r="K1392" s="404"/>
      <c r="L1392" s="120">
        <f>K1392+J1392</f>
        <v>1</v>
      </c>
      <c r="M1392" s="120">
        <f t="shared" si="405"/>
        <v>3000</v>
      </c>
      <c r="N1392" s="120">
        <f t="shared" si="406"/>
        <v>3000</v>
      </c>
      <c r="O1392" s="404">
        <f>K1392*H1392</f>
        <v>0</v>
      </c>
      <c r="P1392" s="127">
        <f>H1392*L1392</f>
        <v>3000</v>
      </c>
    </row>
    <row r="1393" spans="1:16" ht="15.75">
      <c r="A1393" s="260"/>
      <c r="B1393" s="118"/>
      <c r="C1393" s="132" t="s">
        <v>451</v>
      </c>
      <c r="D1393" s="129"/>
      <c r="E1393" s="129"/>
      <c r="F1393" s="130"/>
      <c r="G1393" s="134" t="s">
        <v>492</v>
      </c>
      <c r="H1393" s="120">
        <v>3000</v>
      </c>
      <c r="I1393" s="417">
        <v>1</v>
      </c>
      <c r="J1393" s="120">
        <v>1</v>
      </c>
      <c r="K1393" s="404"/>
      <c r="L1393" s="120">
        <f>K1393+J1393</f>
        <v>1</v>
      </c>
      <c r="M1393" s="120">
        <f t="shared" si="405"/>
        <v>3000</v>
      </c>
      <c r="N1393" s="120">
        <f t="shared" si="406"/>
        <v>3000</v>
      </c>
      <c r="O1393" s="404">
        <f>K1393*H1393</f>
        <v>0</v>
      </c>
      <c r="P1393" s="127">
        <f>H1393*L1393</f>
        <v>3000</v>
      </c>
    </row>
    <row r="1394" spans="1:16" ht="15.75">
      <c r="A1394" s="260"/>
      <c r="B1394" s="118"/>
      <c r="C1394" s="132" t="s">
        <v>541</v>
      </c>
      <c r="D1394" s="129"/>
      <c r="E1394" s="129"/>
      <c r="F1394" s="130"/>
      <c r="G1394" s="134" t="s">
        <v>492</v>
      </c>
      <c r="H1394" s="120">
        <v>2000</v>
      </c>
      <c r="I1394" s="417">
        <v>1</v>
      </c>
      <c r="J1394" s="120">
        <v>1</v>
      </c>
      <c r="K1394" s="404"/>
      <c r="L1394" s="120">
        <f t="shared" ref="L1394:L1400" si="407">K1394+J1394</f>
        <v>1</v>
      </c>
      <c r="M1394" s="120">
        <f t="shared" si="405"/>
        <v>2000</v>
      </c>
      <c r="N1394" s="120">
        <f t="shared" si="406"/>
        <v>2000</v>
      </c>
      <c r="O1394" s="404"/>
      <c r="P1394" s="127">
        <f>H1394*L1394</f>
        <v>2000</v>
      </c>
    </row>
    <row r="1395" spans="1:16" ht="15.75">
      <c r="A1395" s="260"/>
      <c r="B1395" s="118"/>
      <c r="C1395" s="132" t="s">
        <v>542</v>
      </c>
      <c r="D1395" s="129"/>
      <c r="E1395" s="129"/>
      <c r="F1395" s="130"/>
      <c r="G1395" s="134" t="s">
        <v>492</v>
      </c>
      <c r="H1395" s="120">
        <v>3500</v>
      </c>
      <c r="I1395" s="417">
        <v>1</v>
      </c>
      <c r="J1395" s="120">
        <v>0</v>
      </c>
      <c r="K1395" s="404"/>
      <c r="L1395" s="120">
        <f t="shared" si="407"/>
        <v>0</v>
      </c>
      <c r="M1395" s="120">
        <f t="shared" si="405"/>
        <v>3500</v>
      </c>
      <c r="N1395" s="120">
        <f t="shared" si="406"/>
        <v>0</v>
      </c>
      <c r="O1395" s="404"/>
      <c r="P1395" s="127"/>
    </row>
    <row r="1396" spans="1:16" ht="15.75">
      <c r="A1396" s="260"/>
      <c r="B1396" s="118"/>
      <c r="C1396" s="132" t="s">
        <v>543</v>
      </c>
      <c r="D1396" s="129"/>
      <c r="E1396" s="129"/>
      <c r="F1396" s="130"/>
      <c r="G1396" s="134" t="s">
        <v>492</v>
      </c>
      <c r="H1396" s="120">
        <v>2700</v>
      </c>
      <c r="I1396" s="417">
        <v>1</v>
      </c>
      <c r="J1396" s="120">
        <v>0</v>
      </c>
      <c r="K1396" s="404"/>
      <c r="L1396" s="120">
        <f t="shared" si="407"/>
        <v>0</v>
      </c>
      <c r="M1396" s="120">
        <f t="shared" si="405"/>
        <v>2700</v>
      </c>
      <c r="N1396" s="120">
        <f t="shared" si="406"/>
        <v>0</v>
      </c>
      <c r="O1396" s="404"/>
      <c r="P1396" s="127"/>
    </row>
    <row r="1397" spans="1:16" ht="15.75">
      <c r="A1397" s="260"/>
      <c r="B1397" s="118"/>
      <c r="C1397" s="132" t="s">
        <v>544</v>
      </c>
      <c r="D1397" s="129"/>
      <c r="E1397" s="129"/>
      <c r="F1397" s="130"/>
      <c r="G1397" s="134" t="s">
        <v>492</v>
      </c>
      <c r="H1397" s="120">
        <v>2700</v>
      </c>
      <c r="I1397" s="417">
        <v>1</v>
      </c>
      <c r="J1397" s="120">
        <v>0</v>
      </c>
      <c r="K1397" s="404"/>
      <c r="L1397" s="120">
        <f t="shared" si="407"/>
        <v>0</v>
      </c>
      <c r="M1397" s="120">
        <f t="shared" si="405"/>
        <v>2700</v>
      </c>
      <c r="N1397" s="120">
        <f t="shared" si="406"/>
        <v>0</v>
      </c>
      <c r="O1397" s="404"/>
      <c r="P1397" s="127"/>
    </row>
    <row r="1398" spans="1:16" ht="15.75">
      <c r="A1398" s="260"/>
      <c r="B1398" s="118"/>
      <c r="C1398" s="132" t="s">
        <v>452</v>
      </c>
      <c r="D1398" s="129"/>
      <c r="E1398" s="129"/>
      <c r="F1398" s="130"/>
      <c r="G1398" s="134" t="s">
        <v>492</v>
      </c>
      <c r="H1398" s="120">
        <v>2300</v>
      </c>
      <c r="I1398" s="417">
        <v>1</v>
      </c>
      <c r="J1398" s="120">
        <v>1</v>
      </c>
      <c r="K1398" s="404"/>
      <c r="L1398" s="120">
        <f t="shared" si="407"/>
        <v>1</v>
      </c>
      <c r="M1398" s="120">
        <f t="shared" si="405"/>
        <v>2300</v>
      </c>
      <c r="N1398" s="120">
        <f t="shared" si="406"/>
        <v>2300</v>
      </c>
      <c r="O1398" s="404">
        <f t="shared" ref="O1398:O1403" si="408">K1398*H1398</f>
        <v>0</v>
      </c>
      <c r="P1398" s="127">
        <f t="shared" ref="P1398:P1403" si="409">H1398*L1398</f>
        <v>2300</v>
      </c>
    </row>
    <row r="1399" spans="1:16" ht="15.75">
      <c r="A1399" s="260"/>
      <c r="B1399" s="118"/>
      <c r="C1399" s="132" t="s">
        <v>453</v>
      </c>
      <c r="D1399" s="129"/>
      <c r="E1399" s="129"/>
      <c r="F1399" s="130"/>
      <c r="G1399" s="134" t="s">
        <v>492</v>
      </c>
      <c r="H1399" s="120">
        <v>2500</v>
      </c>
      <c r="I1399" s="417">
        <v>1</v>
      </c>
      <c r="J1399" s="120">
        <v>1</v>
      </c>
      <c r="K1399" s="404"/>
      <c r="L1399" s="120">
        <f t="shared" si="407"/>
        <v>1</v>
      </c>
      <c r="M1399" s="120">
        <f t="shared" si="405"/>
        <v>2500</v>
      </c>
      <c r="N1399" s="120">
        <f t="shared" si="406"/>
        <v>2500</v>
      </c>
      <c r="O1399" s="404">
        <f t="shared" si="408"/>
        <v>0</v>
      </c>
      <c r="P1399" s="127">
        <f t="shared" si="409"/>
        <v>2500</v>
      </c>
    </row>
    <row r="1400" spans="1:16" ht="15.75">
      <c r="A1400" s="260"/>
      <c r="B1400" s="118"/>
      <c r="C1400" s="132" t="s">
        <v>454</v>
      </c>
      <c r="D1400" s="129"/>
      <c r="E1400" s="129"/>
      <c r="F1400" s="130"/>
      <c r="G1400" s="134" t="s">
        <v>492</v>
      </c>
      <c r="H1400" s="120">
        <v>2500</v>
      </c>
      <c r="I1400" s="417">
        <v>1</v>
      </c>
      <c r="J1400" s="120">
        <v>1</v>
      </c>
      <c r="K1400" s="404"/>
      <c r="L1400" s="120">
        <f t="shared" si="407"/>
        <v>1</v>
      </c>
      <c r="M1400" s="120">
        <f t="shared" si="405"/>
        <v>2500</v>
      </c>
      <c r="N1400" s="120">
        <f t="shared" si="406"/>
        <v>2500</v>
      </c>
      <c r="O1400" s="404">
        <f t="shared" si="408"/>
        <v>0</v>
      </c>
      <c r="P1400" s="127">
        <f t="shared" si="409"/>
        <v>2500</v>
      </c>
    </row>
    <row r="1401" spans="1:16" ht="15.75">
      <c r="A1401" s="260"/>
      <c r="B1401" s="118"/>
      <c r="C1401" s="132" t="s">
        <v>455</v>
      </c>
      <c r="D1401" s="129"/>
      <c r="E1401" s="129"/>
      <c r="F1401" s="130"/>
      <c r="G1401" s="134" t="s">
        <v>492</v>
      </c>
      <c r="H1401" s="120">
        <v>1700</v>
      </c>
      <c r="I1401" s="417">
        <v>1</v>
      </c>
      <c r="J1401" s="120">
        <v>1</v>
      </c>
      <c r="K1401" s="404"/>
      <c r="L1401" s="120">
        <f>K1401+J1401</f>
        <v>1</v>
      </c>
      <c r="M1401" s="120">
        <f t="shared" si="405"/>
        <v>1700</v>
      </c>
      <c r="N1401" s="120">
        <f t="shared" si="406"/>
        <v>1700</v>
      </c>
      <c r="O1401" s="404">
        <f t="shared" si="408"/>
        <v>0</v>
      </c>
      <c r="P1401" s="127">
        <f t="shared" si="409"/>
        <v>1700</v>
      </c>
    </row>
    <row r="1402" spans="1:16" ht="15.75">
      <c r="A1402" s="260"/>
      <c r="B1402" s="118"/>
      <c r="C1402" s="132" t="s">
        <v>456</v>
      </c>
      <c r="D1402" s="129"/>
      <c r="E1402" s="129"/>
      <c r="F1402" s="130"/>
      <c r="G1402" s="134" t="s">
        <v>492</v>
      </c>
      <c r="H1402" s="120">
        <v>2000</v>
      </c>
      <c r="I1402" s="417">
        <v>1</v>
      </c>
      <c r="J1402" s="120">
        <v>1</v>
      </c>
      <c r="K1402" s="404"/>
      <c r="L1402" s="120">
        <f>K1402+J1402</f>
        <v>1</v>
      </c>
      <c r="M1402" s="120">
        <f t="shared" si="405"/>
        <v>2000</v>
      </c>
      <c r="N1402" s="120">
        <f t="shared" si="406"/>
        <v>2000</v>
      </c>
      <c r="O1402" s="404">
        <f t="shared" si="408"/>
        <v>0</v>
      </c>
      <c r="P1402" s="127">
        <f t="shared" si="409"/>
        <v>2000</v>
      </c>
    </row>
    <row r="1403" spans="1:16" ht="15.75">
      <c r="A1403" s="260"/>
      <c r="B1403" s="118"/>
      <c r="C1403" s="132" t="s">
        <v>545</v>
      </c>
      <c r="D1403" s="129"/>
      <c r="E1403" s="129"/>
      <c r="F1403" s="130"/>
      <c r="G1403" s="134" t="s">
        <v>492</v>
      </c>
      <c r="H1403" s="120">
        <v>2500</v>
      </c>
      <c r="I1403" s="417">
        <v>1</v>
      </c>
      <c r="J1403" s="120"/>
      <c r="K1403" s="404"/>
      <c r="L1403" s="120">
        <f>K1403+J1403</f>
        <v>0</v>
      </c>
      <c r="M1403" s="120">
        <f t="shared" si="405"/>
        <v>2500</v>
      </c>
      <c r="N1403" s="120">
        <f t="shared" si="406"/>
        <v>0</v>
      </c>
      <c r="O1403" s="404">
        <f t="shared" si="408"/>
        <v>0</v>
      </c>
      <c r="P1403" s="127">
        <f t="shared" si="409"/>
        <v>0</v>
      </c>
    </row>
    <row r="1404" spans="1:16" ht="15.75">
      <c r="A1404" s="260"/>
      <c r="B1404" s="118"/>
      <c r="C1404" s="132" t="s">
        <v>546</v>
      </c>
      <c r="D1404" s="129"/>
      <c r="E1404" s="129"/>
      <c r="F1404" s="130"/>
      <c r="G1404" s="134" t="s">
        <v>492</v>
      </c>
      <c r="H1404" s="120">
        <v>2600</v>
      </c>
      <c r="I1404" s="417">
        <v>1</v>
      </c>
      <c r="J1404" s="120"/>
      <c r="K1404" s="404"/>
      <c r="L1404" s="120"/>
      <c r="M1404" s="120">
        <f t="shared" si="405"/>
        <v>2600</v>
      </c>
      <c r="N1404" s="120">
        <f t="shared" si="406"/>
        <v>0</v>
      </c>
      <c r="O1404" s="404"/>
      <c r="P1404" s="127"/>
    </row>
    <row r="1405" spans="1:16" ht="15.75">
      <c r="A1405" s="260"/>
      <c r="B1405" s="118"/>
      <c r="C1405" s="132" t="s">
        <v>457</v>
      </c>
      <c r="D1405" s="129"/>
      <c r="E1405" s="129"/>
      <c r="F1405" s="130"/>
      <c r="G1405" s="134" t="s">
        <v>492</v>
      </c>
      <c r="H1405" s="120">
        <v>3000</v>
      </c>
      <c r="I1405" s="417">
        <v>1</v>
      </c>
      <c r="J1405" s="120">
        <v>1</v>
      </c>
      <c r="K1405" s="404"/>
      <c r="L1405" s="120">
        <f t="shared" ref="L1405:L1411" si="410">K1405+J1405</f>
        <v>1</v>
      </c>
      <c r="M1405" s="120">
        <f t="shared" si="405"/>
        <v>3000</v>
      </c>
      <c r="N1405" s="120">
        <f t="shared" si="406"/>
        <v>3000</v>
      </c>
      <c r="O1405" s="404">
        <f t="shared" ref="O1405:O1411" si="411">K1405*H1405</f>
        <v>0</v>
      </c>
      <c r="P1405" s="127">
        <f t="shared" ref="P1405:P1411" si="412">H1405*L1405</f>
        <v>3000</v>
      </c>
    </row>
    <row r="1406" spans="1:16" ht="15.75">
      <c r="A1406" s="260"/>
      <c r="B1406" s="118"/>
      <c r="C1406" s="132" t="s">
        <v>547</v>
      </c>
      <c r="D1406" s="129"/>
      <c r="E1406" s="129"/>
      <c r="F1406" s="130"/>
      <c r="G1406" s="134" t="s">
        <v>492</v>
      </c>
      <c r="H1406" s="120">
        <v>1600</v>
      </c>
      <c r="I1406" s="417">
        <v>1</v>
      </c>
      <c r="J1406" s="120">
        <v>1</v>
      </c>
      <c r="K1406" s="404"/>
      <c r="L1406" s="120">
        <f t="shared" si="410"/>
        <v>1</v>
      </c>
      <c r="M1406" s="120">
        <f t="shared" si="405"/>
        <v>1600</v>
      </c>
      <c r="N1406" s="120">
        <f t="shared" si="406"/>
        <v>1600</v>
      </c>
      <c r="O1406" s="404">
        <f t="shared" si="411"/>
        <v>0</v>
      </c>
      <c r="P1406" s="127">
        <f t="shared" si="412"/>
        <v>1600</v>
      </c>
    </row>
    <row r="1407" spans="1:16" ht="15.75">
      <c r="A1407" s="260"/>
      <c r="B1407" s="118"/>
      <c r="C1407" s="132" t="s">
        <v>548</v>
      </c>
      <c r="D1407" s="129"/>
      <c r="E1407" s="129"/>
      <c r="F1407" s="130"/>
      <c r="G1407" s="134" t="s">
        <v>492</v>
      </c>
      <c r="H1407" s="120">
        <v>1300</v>
      </c>
      <c r="I1407" s="417">
        <v>1</v>
      </c>
      <c r="J1407" s="120">
        <v>0</v>
      </c>
      <c r="K1407" s="404"/>
      <c r="L1407" s="120">
        <f t="shared" si="410"/>
        <v>0</v>
      </c>
      <c r="M1407" s="120">
        <f t="shared" si="405"/>
        <v>1300</v>
      </c>
      <c r="N1407" s="120">
        <f t="shared" si="406"/>
        <v>0</v>
      </c>
      <c r="O1407" s="404">
        <f t="shared" si="411"/>
        <v>0</v>
      </c>
      <c r="P1407" s="127">
        <f t="shared" si="412"/>
        <v>0</v>
      </c>
    </row>
    <row r="1408" spans="1:16" ht="15.75">
      <c r="A1408" s="260"/>
      <c r="B1408" s="118"/>
      <c r="C1408" s="132" t="s">
        <v>549</v>
      </c>
      <c r="D1408" s="129"/>
      <c r="E1408" s="129"/>
      <c r="F1408" s="130"/>
      <c r="G1408" s="134" t="s">
        <v>492</v>
      </c>
      <c r="H1408" s="120">
        <v>1200</v>
      </c>
      <c r="I1408" s="417">
        <v>1</v>
      </c>
      <c r="J1408" s="120">
        <v>1</v>
      </c>
      <c r="K1408" s="404"/>
      <c r="L1408" s="120">
        <f t="shared" si="410"/>
        <v>1</v>
      </c>
      <c r="M1408" s="120">
        <f t="shared" si="405"/>
        <v>1200</v>
      </c>
      <c r="N1408" s="120">
        <f t="shared" si="406"/>
        <v>1200</v>
      </c>
      <c r="O1408" s="404">
        <f t="shared" si="411"/>
        <v>0</v>
      </c>
      <c r="P1408" s="127">
        <f t="shared" si="412"/>
        <v>1200</v>
      </c>
    </row>
    <row r="1409" spans="1:16" ht="15.75">
      <c r="A1409" s="260"/>
      <c r="B1409" s="118"/>
      <c r="C1409" s="132" t="s">
        <v>458</v>
      </c>
      <c r="D1409" s="129"/>
      <c r="E1409" s="129"/>
      <c r="F1409" s="130"/>
      <c r="G1409" s="134" t="s">
        <v>492</v>
      </c>
      <c r="H1409" s="120">
        <v>1100</v>
      </c>
      <c r="I1409" s="417">
        <v>1</v>
      </c>
      <c r="J1409" s="120">
        <v>1</v>
      </c>
      <c r="K1409" s="404"/>
      <c r="L1409" s="120">
        <f t="shared" si="410"/>
        <v>1</v>
      </c>
      <c r="M1409" s="120">
        <f t="shared" si="405"/>
        <v>1100</v>
      </c>
      <c r="N1409" s="120">
        <f t="shared" si="406"/>
        <v>1100</v>
      </c>
      <c r="O1409" s="404">
        <f t="shared" si="411"/>
        <v>0</v>
      </c>
      <c r="P1409" s="127">
        <f t="shared" si="412"/>
        <v>1100</v>
      </c>
    </row>
    <row r="1410" spans="1:16" ht="15.75">
      <c r="A1410" s="260"/>
      <c r="B1410" s="118"/>
      <c r="C1410" s="132" t="s">
        <v>459</v>
      </c>
      <c r="D1410" s="129"/>
      <c r="E1410" s="129"/>
      <c r="F1410" s="130"/>
      <c r="G1410" s="134" t="s">
        <v>492</v>
      </c>
      <c r="H1410" s="120">
        <v>1200</v>
      </c>
      <c r="I1410" s="417">
        <v>1</v>
      </c>
      <c r="J1410" s="120">
        <v>1</v>
      </c>
      <c r="K1410" s="404"/>
      <c r="L1410" s="120">
        <f t="shared" si="410"/>
        <v>1</v>
      </c>
      <c r="M1410" s="120">
        <f t="shared" si="405"/>
        <v>1200</v>
      </c>
      <c r="N1410" s="120">
        <f t="shared" si="406"/>
        <v>1200</v>
      </c>
      <c r="O1410" s="404">
        <f t="shared" si="411"/>
        <v>0</v>
      </c>
      <c r="P1410" s="127">
        <f t="shared" si="412"/>
        <v>1200</v>
      </c>
    </row>
    <row r="1411" spans="1:16" ht="15.75">
      <c r="A1411" s="260"/>
      <c r="B1411" s="118"/>
      <c r="C1411" s="132" t="s">
        <v>460</v>
      </c>
      <c r="D1411" s="129"/>
      <c r="E1411" s="129"/>
      <c r="F1411" s="130"/>
      <c r="G1411" s="134" t="s">
        <v>492</v>
      </c>
      <c r="H1411" s="120">
        <v>2500</v>
      </c>
      <c r="I1411" s="417">
        <v>1</v>
      </c>
      <c r="J1411" s="120">
        <v>1</v>
      </c>
      <c r="K1411" s="404"/>
      <c r="L1411" s="120">
        <f t="shared" si="410"/>
        <v>1</v>
      </c>
      <c r="M1411" s="120">
        <f t="shared" si="405"/>
        <v>2500</v>
      </c>
      <c r="N1411" s="120">
        <f t="shared" si="406"/>
        <v>2500</v>
      </c>
      <c r="O1411" s="404">
        <f t="shared" si="411"/>
        <v>0</v>
      </c>
      <c r="P1411" s="127">
        <f t="shared" si="412"/>
        <v>2500</v>
      </c>
    </row>
    <row r="1412" spans="1:16" ht="15.75">
      <c r="A1412" s="260"/>
      <c r="B1412" s="118"/>
      <c r="C1412" s="132"/>
      <c r="D1412" s="129"/>
      <c r="E1412" s="129"/>
      <c r="F1412" s="130"/>
      <c r="G1412" s="134"/>
      <c r="H1412" s="120"/>
      <c r="I1412" s="417"/>
      <c r="J1412" s="120"/>
      <c r="K1412" s="404"/>
      <c r="L1412" s="120"/>
      <c r="M1412" s="120"/>
      <c r="N1412" s="120"/>
      <c r="O1412" s="404"/>
      <c r="P1412" s="127"/>
    </row>
    <row r="1413" spans="1:16" ht="21" customHeight="1">
      <c r="A1413" s="260"/>
      <c r="B1413" s="118"/>
      <c r="C1413" s="128" t="s">
        <v>461</v>
      </c>
      <c r="D1413" s="133"/>
      <c r="E1413" s="133"/>
      <c r="F1413" s="141"/>
      <c r="G1413" s="134"/>
      <c r="H1413" s="120"/>
      <c r="I1413" s="417"/>
      <c r="J1413" s="120"/>
      <c r="K1413" s="404"/>
      <c r="L1413" s="120"/>
      <c r="M1413" s="120"/>
      <c r="N1413" s="120"/>
      <c r="O1413" s="404"/>
      <c r="P1413" s="127"/>
    </row>
    <row r="1414" spans="1:16" ht="21" customHeight="1">
      <c r="A1414" s="260"/>
      <c r="B1414" s="118"/>
      <c r="C1414" s="128" t="s">
        <v>532</v>
      </c>
      <c r="D1414" s="133"/>
      <c r="E1414" s="133"/>
      <c r="F1414" s="141"/>
      <c r="G1414" s="134"/>
      <c r="H1414" s="120"/>
      <c r="I1414" s="417"/>
      <c r="J1414" s="120"/>
      <c r="K1414" s="404"/>
      <c r="L1414" s="120"/>
      <c r="M1414" s="120"/>
      <c r="N1414" s="120"/>
      <c r="O1414" s="404"/>
      <c r="P1414" s="127"/>
    </row>
    <row r="1415" spans="1:16" ht="21" customHeight="1">
      <c r="A1415" s="260"/>
      <c r="B1415" s="118"/>
      <c r="C1415" s="132"/>
      <c r="D1415" s="129"/>
      <c r="E1415" s="129"/>
      <c r="F1415" s="130"/>
      <c r="G1415" s="134"/>
      <c r="H1415" s="120"/>
      <c r="I1415" s="417"/>
      <c r="J1415" s="120"/>
      <c r="K1415" s="404"/>
      <c r="L1415" s="120"/>
      <c r="M1415" s="120"/>
      <c r="N1415" s="120"/>
      <c r="O1415" s="404"/>
      <c r="P1415" s="127"/>
    </row>
    <row r="1416" spans="1:16" ht="21" customHeight="1">
      <c r="A1416" s="260"/>
      <c r="B1416" s="118"/>
      <c r="C1416" s="132" t="s">
        <v>462</v>
      </c>
      <c r="D1416" s="129"/>
      <c r="E1416" s="129"/>
      <c r="F1416" s="130"/>
      <c r="G1416" s="134"/>
      <c r="H1416" s="120"/>
      <c r="I1416" s="417"/>
      <c r="J1416" s="120"/>
      <c r="K1416" s="404"/>
      <c r="L1416" s="120"/>
      <c r="M1416" s="120"/>
      <c r="N1416" s="120"/>
      <c r="O1416" s="404"/>
      <c r="P1416" s="127"/>
    </row>
    <row r="1417" spans="1:16" ht="21" customHeight="1">
      <c r="A1417" s="260"/>
      <c r="B1417" s="118"/>
      <c r="C1417" s="132" t="s">
        <v>463</v>
      </c>
      <c r="D1417" s="129"/>
      <c r="E1417" s="129"/>
      <c r="F1417" s="130"/>
      <c r="G1417" s="134" t="s">
        <v>484</v>
      </c>
      <c r="H1417" s="120">
        <v>50</v>
      </c>
      <c r="I1417" s="417">
        <v>107</v>
      </c>
      <c r="J1417" s="120">
        <v>50</v>
      </c>
      <c r="K1417" s="404"/>
      <c r="L1417" s="120">
        <f>K1417+J1417</f>
        <v>50</v>
      </c>
      <c r="M1417" s="120">
        <f>H1417*I1417</f>
        <v>5350</v>
      </c>
      <c r="N1417" s="120">
        <f>H1417*J1417</f>
        <v>2500</v>
      </c>
      <c r="O1417" s="404">
        <f>K1417*H1417</f>
        <v>0</v>
      </c>
      <c r="P1417" s="127">
        <f>H1417*L1417</f>
        <v>2500</v>
      </c>
    </row>
    <row r="1418" spans="1:16" ht="21" customHeight="1">
      <c r="A1418" s="260"/>
      <c r="B1418" s="118"/>
      <c r="C1418" s="132" t="s">
        <v>464</v>
      </c>
      <c r="D1418" s="129"/>
      <c r="E1418" s="129"/>
      <c r="F1418" s="130"/>
      <c r="G1418" s="338"/>
      <c r="H1418" s="120"/>
      <c r="I1418" s="417"/>
      <c r="J1418" s="120"/>
      <c r="K1418" s="404"/>
      <c r="L1418" s="120">
        <f>K1418+J1418</f>
        <v>0</v>
      </c>
      <c r="M1418" s="120">
        <f>H1418*I1418</f>
        <v>0</v>
      </c>
      <c r="N1418" s="120">
        <f>H1418*J1418</f>
        <v>0</v>
      </c>
      <c r="O1418" s="404">
        <f>K1418*H1418</f>
        <v>0</v>
      </c>
      <c r="P1418" s="127">
        <f>H1418*L1418</f>
        <v>0</v>
      </c>
    </row>
    <row r="1419" spans="1:16" ht="21" customHeight="1">
      <c r="A1419" s="260"/>
      <c r="B1419" s="118"/>
      <c r="C1419" s="132" t="s">
        <v>465</v>
      </c>
      <c r="D1419" s="129"/>
      <c r="E1419" s="129"/>
      <c r="F1419" s="130"/>
      <c r="G1419" s="134" t="s">
        <v>484</v>
      </c>
      <c r="H1419" s="120">
        <v>50</v>
      </c>
      <c r="I1419" s="417">
        <v>260</v>
      </c>
      <c r="J1419" s="120"/>
      <c r="K1419" s="404"/>
      <c r="L1419" s="120">
        <f>K1419+J1419</f>
        <v>0</v>
      </c>
      <c r="M1419" s="120">
        <f>H1419*I1419</f>
        <v>13000</v>
      </c>
      <c r="N1419" s="120">
        <f>H1419*J1419</f>
        <v>0</v>
      </c>
      <c r="O1419" s="404">
        <f>K1419*H1419</f>
        <v>0</v>
      </c>
      <c r="P1419" s="127">
        <f>H1419*L1419</f>
        <v>0</v>
      </c>
    </row>
    <row r="1420" spans="1:16" ht="21" customHeight="1">
      <c r="A1420" s="260"/>
      <c r="B1420" s="118"/>
      <c r="C1420" s="132" t="s">
        <v>466</v>
      </c>
      <c r="D1420" s="129"/>
      <c r="E1420" s="129"/>
      <c r="F1420" s="130"/>
      <c r="G1420" s="134" t="s">
        <v>484</v>
      </c>
      <c r="H1420" s="120">
        <v>50</v>
      </c>
      <c r="I1420" s="417">
        <v>763</v>
      </c>
      <c r="J1420" s="120">
        <v>937</v>
      </c>
      <c r="K1420" s="404"/>
      <c r="L1420" s="120">
        <f>K1420+J1420</f>
        <v>937</v>
      </c>
      <c r="M1420" s="120">
        <f>H1420*I1420</f>
        <v>38150</v>
      </c>
      <c r="N1420" s="120">
        <f>H1420*J1420</f>
        <v>46850</v>
      </c>
      <c r="O1420" s="404">
        <f>K1420*H1420</f>
        <v>0</v>
      </c>
      <c r="P1420" s="127">
        <f>H1420*L1420</f>
        <v>46850</v>
      </c>
    </row>
    <row r="1421" spans="1:16" ht="21" customHeight="1">
      <c r="A1421" s="260"/>
      <c r="B1421" s="118"/>
      <c r="C1421" s="132" t="s">
        <v>467</v>
      </c>
      <c r="D1421" s="129"/>
      <c r="E1421" s="129"/>
      <c r="F1421" s="130"/>
      <c r="G1421" s="134" t="s">
        <v>484</v>
      </c>
      <c r="H1421" s="120">
        <v>30</v>
      </c>
      <c r="I1421" s="417">
        <v>855</v>
      </c>
      <c r="J1421" s="120">
        <v>220</v>
      </c>
      <c r="K1421" s="404"/>
      <c r="L1421" s="120">
        <f>K1421+J1421</f>
        <v>220</v>
      </c>
      <c r="M1421" s="120">
        <f>H1421*I1421</f>
        <v>25650</v>
      </c>
      <c r="N1421" s="120">
        <f>H1421*J1421</f>
        <v>6600</v>
      </c>
      <c r="O1421" s="404">
        <f>K1421*H1421</f>
        <v>0</v>
      </c>
      <c r="P1421" s="127">
        <f>H1421*L1421</f>
        <v>6600</v>
      </c>
    </row>
    <row r="1422" spans="1:16" ht="21" customHeight="1">
      <c r="A1422" s="260"/>
      <c r="B1422" s="118"/>
      <c r="C1422" s="132" t="s">
        <v>468</v>
      </c>
      <c r="D1422" s="129"/>
      <c r="E1422" s="129"/>
      <c r="F1422" s="130"/>
      <c r="G1422" s="134" t="s">
        <v>484</v>
      </c>
      <c r="H1422" s="120">
        <v>30</v>
      </c>
      <c r="I1422" s="417">
        <v>590</v>
      </c>
      <c r="J1422" s="120">
        <v>310</v>
      </c>
      <c r="K1422" s="404"/>
      <c r="L1422" s="120">
        <f t="shared" ref="L1422:L1449" si="413">K1422+J1422</f>
        <v>310</v>
      </c>
      <c r="M1422" s="120">
        <f t="shared" ref="M1422:M1449" si="414">H1422*I1422</f>
        <v>17700</v>
      </c>
      <c r="N1422" s="120">
        <f t="shared" ref="N1422:N1449" si="415">H1422*J1422</f>
        <v>9300</v>
      </c>
      <c r="O1422" s="404">
        <f t="shared" ref="O1422:O1448" si="416">K1422*H1422</f>
        <v>0</v>
      </c>
      <c r="P1422" s="127">
        <f t="shared" ref="P1422:P1449" si="417">H1422*L1422</f>
        <v>9300</v>
      </c>
    </row>
    <row r="1423" spans="1:16" ht="21" customHeight="1">
      <c r="A1423" s="260"/>
      <c r="B1423" s="118"/>
      <c r="C1423" s="132" t="s">
        <v>469</v>
      </c>
      <c r="D1423" s="129"/>
      <c r="E1423" s="129"/>
      <c r="F1423" s="130"/>
      <c r="G1423" s="134" t="s">
        <v>484</v>
      </c>
      <c r="H1423" s="120">
        <v>30</v>
      </c>
      <c r="I1423" s="417">
        <v>50</v>
      </c>
      <c r="J1423" s="120">
        <v>135</v>
      </c>
      <c r="K1423" s="404"/>
      <c r="L1423" s="120">
        <f t="shared" si="413"/>
        <v>135</v>
      </c>
      <c r="M1423" s="120">
        <f t="shared" si="414"/>
        <v>1500</v>
      </c>
      <c r="N1423" s="120">
        <f t="shared" si="415"/>
        <v>4050</v>
      </c>
      <c r="O1423" s="404">
        <f t="shared" si="416"/>
        <v>0</v>
      </c>
      <c r="P1423" s="127">
        <f t="shared" si="417"/>
        <v>4050</v>
      </c>
    </row>
    <row r="1424" spans="1:16" ht="21" customHeight="1">
      <c r="A1424" s="260"/>
      <c r="B1424" s="118"/>
      <c r="C1424" s="132" t="s">
        <v>470</v>
      </c>
      <c r="D1424" s="129"/>
      <c r="E1424" s="129"/>
      <c r="F1424" s="130"/>
      <c r="G1424" s="134" t="s">
        <v>484</v>
      </c>
      <c r="H1424" s="120">
        <v>10</v>
      </c>
      <c r="I1424" s="417">
        <v>300</v>
      </c>
      <c r="J1424" s="120">
        <v>708</v>
      </c>
      <c r="K1424" s="404"/>
      <c r="L1424" s="120">
        <f t="shared" si="413"/>
        <v>708</v>
      </c>
      <c r="M1424" s="120">
        <f t="shared" si="414"/>
        <v>3000</v>
      </c>
      <c r="N1424" s="120">
        <f t="shared" si="415"/>
        <v>7080</v>
      </c>
      <c r="O1424" s="404">
        <f t="shared" si="416"/>
        <v>0</v>
      </c>
      <c r="P1424" s="127">
        <f t="shared" si="417"/>
        <v>7080</v>
      </c>
    </row>
    <row r="1425" spans="1:16" ht="21" customHeight="1">
      <c r="A1425" s="260"/>
      <c r="B1425" s="118"/>
      <c r="C1425" s="132" t="s">
        <v>471</v>
      </c>
      <c r="D1425" s="129"/>
      <c r="E1425" s="129"/>
      <c r="F1425" s="130"/>
      <c r="G1425" s="134" t="s">
        <v>484</v>
      </c>
      <c r="H1425" s="120">
        <v>50</v>
      </c>
      <c r="I1425" s="417">
        <v>46</v>
      </c>
      <c r="J1425" s="120"/>
      <c r="K1425" s="404"/>
      <c r="L1425" s="120">
        <f t="shared" si="413"/>
        <v>0</v>
      </c>
      <c r="M1425" s="120">
        <f t="shared" si="414"/>
        <v>2300</v>
      </c>
      <c r="N1425" s="120">
        <f t="shared" si="415"/>
        <v>0</v>
      </c>
      <c r="O1425" s="404">
        <f t="shared" si="416"/>
        <v>0</v>
      </c>
      <c r="P1425" s="127">
        <f t="shared" si="417"/>
        <v>0</v>
      </c>
    </row>
    <row r="1426" spans="1:16" ht="21" customHeight="1">
      <c r="A1426" s="260"/>
      <c r="B1426" s="147"/>
      <c r="C1426" s="132" t="s">
        <v>472</v>
      </c>
      <c r="D1426" s="129"/>
      <c r="E1426" s="129"/>
      <c r="F1426" s="130"/>
      <c r="G1426" s="134" t="s">
        <v>484</v>
      </c>
      <c r="H1426" s="120">
        <v>30</v>
      </c>
      <c r="I1426" s="417">
        <v>6</v>
      </c>
      <c r="J1426" s="120">
        <v>0</v>
      </c>
      <c r="K1426" s="404"/>
      <c r="L1426" s="120">
        <f t="shared" si="413"/>
        <v>0</v>
      </c>
      <c r="M1426" s="120">
        <f t="shared" si="414"/>
        <v>180</v>
      </c>
      <c r="N1426" s="120">
        <f t="shared" si="415"/>
        <v>0</v>
      </c>
      <c r="O1426" s="404">
        <f t="shared" si="416"/>
        <v>0</v>
      </c>
      <c r="P1426" s="127">
        <f t="shared" si="417"/>
        <v>0</v>
      </c>
    </row>
    <row r="1427" spans="1:16" ht="21" customHeight="1">
      <c r="A1427" s="260"/>
      <c r="B1427" s="147"/>
      <c r="C1427" s="132" t="s">
        <v>473</v>
      </c>
      <c r="D1427" s="129"/>
      <c r="E1427" s="129"/>
      <c r="F1427" s="130"/>
      <c r="G1427" s="134" t="s">
        <v>484</v>
      </c>
      <c r="H1427" s="120">
        <v>30</v>
      </c>
      <c r="I1427" s="417">
        <v>70</v>
      </c>
      <c r="J1427" s="120">
        <v>69</v>
      </c>
      <c r="K1427" s="404"/>
      <c r="L1427" s="120">
        <v>69</v>
      </c>
      <c r="M1427" s="120">
        <f t="shared" si="414"/>
        <v>2100</v>
      </c>
      <c r="N1427" s="120">
        <f t="shared" si="415"/>
        <v>2070</v>
      </c>
      <c r="O1427" s="404">
        <f t="shared" si="416"/>
        <v>0</v>
      </c>
      <c r="P1427" s="127">
        <f t="shared" si="417"/>
        <v>2070</v>
      </c>
    </row>
    <row r="1428" spans="1:16" ht="21" customHeight="1">
      <c r="A1428" s="260"/>
      <c r="B1428" s="147"/>
      <c r="C1428" s="132" t="s">
        <v>474</v>
      </c>
      <c r="D1428" s="129"/>
      <c r="E1428" s="129"/>
      <c r="F1428" s="130"/>
      <c r="G1428" s="134" t="s">
        <v>484</v>
      </c>
      <c r="H1428" s="120">
        <v>30</v>
      </c>
      <c r="I1428" s="417">
        <v>33</v>
      </c>
      <c r="J1428" s="120">
        <v>30</v>
      </c>
      <c r="K1428" s="404"/>
      <c r="L1428" s="120">
        <v>30</v>
      </c>
      <c r="M1428" s="120">
        <f t="shared" si="414"/>
        <v>990</v>
      </c>
      <c r="N1428" s="120">
        <f t="shared" si="415"/>
        <v>900</v>
      </c>
      <c r="O1428" s="404">
        <f t="shared" si="416"/>
        <v>0</v>
      </c>
      <c r="P1428" s="127">
        <f t="shared" si="417"/>
        <v>900</v>
      </c>
    </row>
    <row r="1429" spans="1:16" ht="21" customHeight="1">
      <c r="A1429" s="260"/>
      <c r="B1429" s="147"/>
      <c r="C1429" s="132" t="s">
        <v>475</v>
      </c>
      <c r="D1429" s="129"/>
      <c r="E1429" s="129"/>
      <c r="F1429" s="130"/>
      <c r="G1429" s="134" t="s">
        <v>484</v>
      </c>
      <c r="H1429" s="120">
        <v>10</v>
      </c>
      <c r="I1429" s="417">
        <v>696</v>
      </c>
      <c r="J1429" s="120">
        <v>690</v>
      </c>
      <c r="K1429" s="404"/>
      <c r="L1429" s="120">
        <v>690</v>
      </c>
      <c r="M1429" s="120">
        <f t="shared" si="414"/>
        <v>6960</v>
      </c>
      <c r="N1429" s="120">
        <f t="shared" si="415"/>
        <v>6900</v>
      </c>
      <c r="O1429" s="404">
        <f t="shared" si="416"/>
        <v>0</v>
      </c>
      <c r="P1429" s="127">
        <f t="shared" si="417"/>
        <v>6900</v>
      </c>
    </row>
    <row r="1430" spans="1:16" ht="21" customHeight="1">
      <c r="A1430" s="260"/>
      <c r="B1430" s="147"/>
      <c r="C1430" s="132" t="s">
        <v>476</v>
      </c>
      <c r="D1430" s="129"/>
      <c r="E1430" s="129"/>
      <c r="F1430" s="130"/>
      <c r="G1430" s="134" t="s">
        <v>484</v>
      </c>
      <c r="H1430" s="120">
        <v>10</v>
      </c>
      <c r="I1430" s="417">
        <v>735</v>
      </c>
      <c r="J1430" s="120">
        <v>701</v>
      </c>
      <c r="K1430" s="404"/>
      <c r="L1430" s="120">
        <v>701</v>
      </c>
      <c r="M1430" s="120">
        <f t="shared" si="414"/>
        <v>7350</v>
      </c>
      <c r="N1430" s="120">
        <f t="shared" si="415"/>
        <v>7010</v>
      </c>
      <c r="O1430" s="404">
        <f t="shared" si="416"/>
        <v>0</v>
      </c>
      <c r="P1430" s="127">
        <f t="shared" si="417"/>
        <v>7010</v>
      </c>
    </row>
    <row r="1431" spans="1:16" ht="21" customHeight="1">
      <c r="A1431" s="260"/>
      <c r="B1431" s="147"/>
      <c r="C1431" s="132" t="s">
        <v>477</v>
      </c>
      <c r="D1431" s="129"/>
      <c r="E1431" s="129"/>
      <c r="F1431" s="130"/>
      <c r="G1431" s="134" t="s">
        <v>484</v>
      </c>
      <c r="H1431" s="120">
        <v>4</v>
      </c>
      <c r="I1431" s="417">
        <v>2090</v>
      </c>
      <c r="J1431" s="120">
        <v>2118.4</v>
      </c>
      <c r="K1431" s="404"/>
      <c r="L1431" s="120">
        <v>2118.4</v>
      </c>
      <c r="M1431" s="120">
        <f t="shared" si="414"/>
        <v>8360</v>
      </c>
      <c r="N1431" s="120">
        <f t="shared" si="415"/>
        <v>8473.6</v>
      </c>
      <c r="O1431" s="404">
        <f t="shared" si="416"/>
        <v>0</v>
      </c>
      <c r="P1431" s="127">
        <f t="shared" si="417"/>
        <v>8473.6</v>
      </c>
    </row>
    <row r="1432" spans="1:16" ht="21" customHeight="1">
      <c r="A1432" s="260"/>
      <c r="B1432" s="147"/>
      <c r="C1432" s="132" t="s">
        <v>479</v>
      </c>
      <c r="D1432" s="129"/>
      <c r="E1432" s="129"/>
      <c r="F1432" s="130"/>
      <c r="G1432" s="134" t="s">
        <v>484</v>
      </c>
      <c r="H1432" s="120">
        <v>3.5</v>
      </c>
      <c r="I1432" s="417">
        <v>3270</v>
      </c>
      <c r="J1432" s="120">
        <v>4002</v>
      </c>
      <c r="K1432" s="404"/>
      <c r="L1432" s="120">
        <v>4002</v>
      </c>
      <c r="M1432" s="120">
        <f t="shared" si="414"/>
        <v>11445</v>
      </c>
      <c r="N1432" s="120">
        <f t="shared" si="415"/>
        <v>14007</v>
      </c>
      <c r="O1432" s="404">
        <f t="shared" si="416"/>
        <v>0</v>
      </c>
      <c r="P1432" s="127">
        <f t="shared" si="417"/>
        <v>14007</v>
      </c>
    </row>
    <row r="1433" spans="1:16" ht="21" customHeight="1">
      <c r="A1433" s="260"/>
      <c r="B1433" s="147"/>
      <c r="C1433" s="132" t="s">
        <v>478</v>
      </c>
      <c r="D1433" s="129"/>
      <c r="E1433" s="129"/>
      <c r="F1433" s="130"/>
      <c r="G1433" s="134" t="s">
        <v>484</v>
      </c>
      <c r="H1433" s="120">
        <v>3.5</v>
      </c>
      <c r="I1433" s="417">
        <v>613</v>
      </c>
      <c r="J1433" s="120">
        <v>1308.5</v>
      </c>
      <c r="K1433" s="404"/>
      <c r="L1433" s="120">
        <v>1308.5</v>
      </c>
      <c r="M1433" s="120">
        <f t="shared" si="414"/>
        <v>2145.5</v>
      </c>
      <c r="N1433" s="120">
        <f t="shared" si="415"/>
        <v>4579.75</v>
      </c>
      <c r="O1433" s="404">
        <f t="shared" si="416"/>
        <v>0</v>
      </c>
      <c r="P1433" s="127">
        <f t="shared" si="417"/>
        <v>4579.75</v>
      </c>
    </row>
    <row r="1434" spans="1:16" ht="21" customHeight="1">
      <c r="A1434" s="260"/>
      <c r="B1434" s="147"/>
      <c r="C1434" s="132" t="s">
        <v>480</v>
      </c>
      <c r="D1434" s="129"/>
      <c r="E1434" s="129"/>
      <c r="F1434" s="130"/>
      <c r="G1434" s="134" t="s">
        <v>484</v>
      </c>
      <c r="H1434" s="120">
        <v>3.5</v>
      </c>
      <c r="I1434" s="417">
        <v>332</v>
      </c>
      <c r="J1434" s="120">
        <v>340</v>
      </c>
      <c r="K1434" s="404"/>
      <c r="L1434" s="120">
        <v>340</v>
      </c>
      <c r="M1434" s="120">
        <f t="shared" si="414"/>
        <v>1162</v>
      </c>
      <c r="N1434" s="120">
        <f t="shared" si="415"/>
        <v>1190</v>
      </c>
      <c r="O1434" s="404">
        <f t="shared" si="416"/>
        <v>0</v>
      </c>
      <c r="P1434" s="127">
        <f t="shared" si="417"/>
        <v>1190</v>
      </c>
    </row>
    <row r="1435" spans="1:16" ht="21" customHeight="1">
      <c r="A1435" s="260"/>
      <c r="B1435" s="155"/>
      <c r="C1435" s="156" t="s">
        <v>533</v>
      </c>
      <c r="D1435" s="274"/>
      <c r="E1435" s="274"/>
      <c r="F1435" s="274"/>
      <c r="G1435" s="157" t="s">
        <v>484</v>
      </c>
      <c r="H1435" s="158">
        <v>3.5</v>
      </c>
      <c r="I1435" s="417">
        <v>6616</v>
      </c>
      <c r="J1435" s="120">
        <v>800</v>
      </c>
      <c r="K1435" s="404"/>
      <c r="L1435" s="120">
        <v>800</v>
      </c>
      <c r="M1435" s="120">
        <f t="shared" si="414"/>
        <v>23156</v>
      </c>
      <c r="N1435" s="120">
        <f t="shared" si="415"/>
        <v>2800</v>
      </c>
      <c r="O1435" s="404">
        <f t="shared" si="416"/>
        <v>0</v>
      </c>
      <c r="P1435" s="127">
        <f t="shared" si="417"/>
        <v>2800</v>
      </c>
    </row>
    <row r="1436" spans="1:16" ht="21" customHeight="1">
      <c r="A1436" s="260"/>
      <c r="B1436" s="147"/>
      <c r="C1436" s="119" t="s">
        <v>481</v>
      </c>
      <c r="D1436" s="119"/>
      <c r="E1436" s="119"/>
      <c r="F1436" s="119"/>
      <c r="G1436" s="134"/>
      <c r="H1436" s="120"/>
      <c r="I1436" s="417"/>
      <c r="J1436" s="120"/>
      <c r="K1436" s="404"/>
      <c r="L1436" s="120">
        <f t="shared" si="413"/>
        <v>0</v>
      </c>
      <c r="M1436" s="120">
        <f t="shared" si="414"/>
        <v>0</v>
      </c>
      <c r="N1436" s="120">
        <f t="shared" si="415"/>
        <v>0</v>
      </c>
      <c r="O1436" s="404">
        <f t="shared" si="416"/>
        <v>0</v>
      </c>
      <c r="P1436" s="127">
        <f t="shared" si="417"/>
        <v>0</v>
      </c>
    </row>
    <row r="1437" spans="1:16" ht="21" customHeight="1">
      <c r="A1437" s="260"/>
      <c r="B1437" s="147"/>
      <c r="C1437" s="132" t="s">
        <v>482</v>
      </c>
      <c r="D1437" s="129"/>
      <c r="E1437" s="129"/>
      <c r="F1437" s="130"/>
      <c r="G1437" s="134" t="s">
        <v>484</v>
      </c>
      <c r="H1437" s="120">
        <v>3.5</v>
      </c>
      <c r="I1437" s="417">
        <v>894</v>
      </c>
      <c r="J1437" s="120">
        <v>889</v>
      </c>
      <c r="K1437" s="404"/>
      <c r="L1437" s="120">
        <f t="shared" si="413"/>
        <v>889</v>
      </c>
      <c r="M1437" s="120">
        <f t="shared" si="414"/>
        <v>3129</v>
      </c>
      <c r="N1437" s="120">
        <f t="shared" si="415"/>
        <v>3111.5</v>
      </c>
      <c r="O1437" s="404">
        <f t="shared" si="416"/>
        <v>0</v>
      </c>
      <c r="P1437" s="127">
        <f t="shared" si="417"/>
        <v>3111.5</v>
      </c>
    </row>
    <row r="1438" spans="1:16" ht="21" customHeight="1">
      <c r="A1438" s="260"/>
      <c r="B1438" s="147"/>
      <c r="C1438" s="132" t="s">
        <v>483</v>
      </c>
      <c r="D1438" s="129"/>
      <c r="E1438" s="129"/>
      <c r="F1438" s="130"/>
      <c r="G1438" s="134"/>
      <c r="H1438" s="120"/>
      <c r="I1438" s="417"/>
      <c r="J1438" s="120"/>
      <c r="K1438" s="404"/>
      <c r="L1438" s="120">
        <f t="shared" si="413"/>
        <v>0</v>
      </c>
      <c r="M1438" s="120">
        <f t="shared" si="414"/>
        <v>0</v>
      </c>
      <c r="N1438" s="120">
        <f t="shared" si="415"/>
        <v>0</v>
      </c>
      <c r="O1438" s="404">
        <f t="shared" si="416"/>
        <v>0</v>
      </c>
      <c r="P1438" s="127">
        <f t="shared" si="417"/>
        <v>0</v>
      </c>
    </row>
    <row r="1439" spans="1:16" ht="15.75">
      <c r="A1439" s="260"/>
      <c r="B1439" s="147"/>
      <c r="C1439" s="132"/>
      <c r="D1439" s="129"/>
      <c r="E1439" s="129"/>
      <c r="F1439" s="130"/>
      <c r="G1439" s="134"/>
      <c r="H1439" s="120"/>
      <c r="I1439" s="417"/>
      <c r="J1439" s="120"/>
      <c r="K1439" s="404"/>
      <c r="L1439" s="120">
        <f t="shared" si="413"/>
        <v>0</v>
      </c>
      <c r="M1439" s="120">
        <f t="shared" si="414"/>
        <v>0</v>
      </c>
      <c r="N1439" s="120">
        <f t="shared" si="415"/>
        <v>0</v>
      </c>
      <c r="O1439" s="404">
        <f t="shared" si="416"/>
        <v>0</v>
      </c>
      <c r="P1439" s="127">
        <f t="shared" si="417"/>
        <v>0</v>
      </c>
    </row>
    <row r="1440" spans="1:16" s="413" customFormat="1" ht="22.5" customHeight="1">
      <c r="A1440" s="433"/>
      <c r="B1440" s="488"/>
      <c r="C1440" s="501" t="s">
        <v>485</v>
      </c>
      <c r="D1440" s="502"/>
      <c r="E1440" s="502"/>
      <c r="F1440" s="503"/>
      <c r="G1440" s="489"/>
      <c r="H1440" s="491"/>
      <c r="I1440" s="417"/>
      <c r="J1440" s="491"/>
      <c r="K1440" s="404"/>
      <c r="L1440" s="491">
        <f t="shared" si="413"/>
        <v>0</v>
      </c>
      <c r="M1440" s="491">
        <f t="shared" si="414"/>
        <v>0</v>
      </c>
      <c r="N1440" s="491">
        <f t="shared" si="415"/>
        <v>0</v>
      </c>
      <c r="O1440" s="404">
        <f t="shared" si="416"/>
        <v>0</v>
      </c>
      <c r="P1440" s="507">
        <f t="shared" si="417"/>
        <v>0</v>
      </c>
    </row>
    <row r="1441" spans="1:16" s="413" customFormat="1" ht="22.5" customHeight="1">
      <c r="A1441" s="433"/>
      <c r="B1441" s="488"/>
      <c r="C1441" s="498" t="s">
        <v>486</v>
      </c>
      <c r="D1441" s="499"/>
      <c r="E1441" s="499"/>
      <c r="F1441" s="500"/>
      <c r="G1441" s="489" t="s">
        <v>254</v>
      </c>
      <c r="H1441" s="491">
        <v>6</v>
      </c>
      <c r="I1441" s="417">
        <v>87</v>
      </c>
      <c r="J1441" s="491">
        <v>83</v>
      </c>
      <c r="K1441" s="404"/>
      <c r="L1441" s="491">
        <f t="shared" si="413"/>
        <v>83</v>
      </c>
      <c r="M1441" s="491">
        <f t="shared" si="414"/>
        <v>522</v>
      </c>
      <c r="N1441" s="491">
        <f t="shared" si="415"/>
        <v>498</v>
      </c>
      <c r="O1441" s="404">
        <f t="shared" si="416"/>
        <v>0</v>
      </c>
      <c r="P1441" s="507">
        <f t="shared" si="417"/>
        <v>498</v>
      </c>
    </row>
    <row r="1442" spans="1:16" s="413" customFormat="1" ht="22.5" customHeight="1">
      <c r="A1442" s="433"/>
      <c r="B1442" s="488"/>
      <c r="C1442" s="498"/>
      <c r="D1442" s="499"/>
      <c r="E1442" s="499"/>
      <c r="F1442" s="500"/>
      <c r="G1442" s="489"/>
      <c r="H1442" s="491"/>
      <c r="I1442" s="417"/>
      <c r="J1442" s="491"/>
      <c r="K1442" s="404"/>
      <c r="L1442" s="491">
        <f t="shared" si="413"/>
        <v>0</v>
      </c>
      <c r="M1442" s="491">
        <f t="shared" si="414"/>
        <v>0</v>
      </c>
      <c r="N1442" s="491">
        <f t="shared" si="415"/>
        <v>0</v>
      </c>
      <c r="O1442" s="404">
        <f t="shared" si="416"/>
        <v>0</v>
      </c>
      <c r="P1442" s="507">
        <f t="shared" si="417"/>
        <v>0</v>
      </c>
    </row>
    <row r="1443" spans="1:16" s="413" customFormat="1" ht="22.5" customHeight="1">
      <c r="A1443" s="433"/>
      <c r="B1443" s="488"/>
      <c r="C1443" s="501" t="s">
        <v>487</v>
      </c>
      <c r="D1443" s="502"/>
      <c r="E1443" s="502"/>
      <c r="F1443" s="500"/>
      <c r="G1443" s="489"/>
      <c r="H1443" s="491"/>
      <c r="I1443" s="417"/>
      <c r="J1443" s="491"/>
      <c r="K1443" s="404"/>
      <c r="L1443" s="491">
        <f t="shared" si="413"/>
        <v>0</v>
      </c>
      <c r="M1443" s="491">
        <f t="shared" si="414"/>
        <v>0</v>
      </c>
      <c r="N1443" s="491">
        <f t="shared" si="415"/>
        <v>0</v>
      </c>
      <c r="O1443" s="404">
        <f t="shared" si="416"/>
        <v>0</v>
      </c>
      <c r="P1443" s="507">
        <f t="shared" si="417"/>
        <v>0</v>
      </c>
    </row>
    <row r="1444" spans="1:16" s="413" customFormat="1" ht="22.5" customHeight="1">
      <c r="A1444" s="433"/>
      <c r="B1444" s="488"/>
      <c r="C1444" s="498"/>
      <c r="D1444" s="499"/>
      <c r="E1444" s="499"/>
      <c r="F1444" s="500"/>
      <c r="G1444" s="489"/>
      <c r="H1444" s="491"/>
      <c r="I1444" s="417"/>
      <c r="J1444" s="491"/>
      <c r="K1444" s="404"/>
      <c r="L1444" s="491">
        <f t="shared" si="413"/>
        <v>0</v>
      </c>
      <c r="M1444" s="491">
        <f t="shared" si="414"/>
        <v>0</v>
      </c>
      <c r="N1444" s="491">
        <f t="shared" si="415"/>
        <v>0</v>
      </c>
      <c r="O1444" s="404">
        <f t="shared" si="416"/>
        <v>0</v>
      </c>
      <c r="P1444" s="507">
        <f t="shared" si="417"/>
        <v>0</v>
      </c>
    </row>
    <row r="1445" spans="1:16" s="413" customFormat="1" ht="22.5" customHeight="1">
      <c r="A1445" s="433"/>
      <c r="B1445" s="488"/>
      <c r="C1445" s="498" t="s">
        <v>488</v>
      </c>
      <c r="D1445" s="499"/>
      <c r="E1445" s="499"/>
      <c r="F1445" s="500"/>
      <c r="G1445" s="489" t="s">
        <v>273</v>
      </c>
      <c r="H1445" s="491">
        <v>117</v>
      </c>
      <c r="I1445" s="417">
        <v>11486</v>
      </c>
      <c r="J1445" s="491">
        <v>10040.9</v>
      </c>
      <c r="K1445" s="404"/>
      <c r="L1445" s="491">
        <f>K1445+J1445</f>
        <v>10040.9</v>
      </c>
      <c r="M1445" s="491">
        <f>H1445*I1445</f>
        <v>1343862</v>
      </c>
      <c r="N1445" s="491">
        <f>H1445*J1445</f>
        <v>1174785.3</v>
      </c>
      <c r="O1445" s="404">
        <f t="shared" si="416"/>
        <v>0</v>
      </c>
      <c r="P1445" s="507">
        <f t="shared" si="417"/>
        <v>1174785.3</v>
      </c>
    </row>
    <row r="1446" spans="1:16" s="413" customFormat="1" ht="22.5" customHeight="1">
      <c r="A1446" s="433"/>
      <c r="B1446" s="488"/>
      <c r="C1446" s="498"/>
      <c r="D1446" s="499"/>
      <c r="E1446" s="499"/>
      <c r="F1446" s="500"/>
      <c r="G1446" s="489"/>
      <c r="H1446" s="491"/>
      <c r="I1446" s="417"/>
      <c r="J1446" s="491"/>
      <c r="K1446" s="404"/>
      <c r="L1446" s="491">
        <f t="shared" si="413"/>
        <v>0</v>
      </c>
      <c r="M1446" s="491">
        <f t="shared" si="414"/>
        <v>0</v>
      </c>
      <c r="N1446" s="491">
        <f t="shared" si="415"/>
        <v>0</v>
      </c>
      <c r="O1446" s="404">
        <f t="shared" si="416"/>
        <v>0</v>
      </c>
      <c r="P1446" s="507">
        <f t="shared" si="417"/>
        <v>0</v>
      </c>
    </row>
    <row r="1447" spans="1:16" s="413" customFormat="1" ht="22.5" customHeight="1">
      <c r="A1447" s="433"/>
      <c r="B1447" s="488"/>
      <c r="C1447" s="501" t="s">
        <v>489</v>
      </c>
      <c r="D1447" s="502"/>
      <c r="E1447" s="499"/>
      <c r="F1447" s="500"/>
      <c r="G1447" s="489"/>
      <c r="H1447" s="491"/>
      <c r="I1447" s="417"/>
      <c r="J1447" s="491"/>
      <c r="K1447" s="404"/>
      <c r="L1447" s="491">
        <f t="shared" si="413"/>
        <v>0</v>
      </c>
      <c r="M1447" s="491">
        <f t="shared" si="414"/>
        <v>0</v>
      </c>
      <c r="N1447" s="491">
        <f t="shared" si="415"/>
        <v>0</v>
      </c>
      <c r="O1447" s="404">
        <f t="shared" si="416"/>
        <v>0</v>
      </c>
      <c r="P1447" s="507">
        <f t="shared" si="417"/>
        <v>0</v>
      </c>
    </row>
    <row r="1448" spans="1:16" s="413" customFormat="1" ht="22.5" customHeight="1">
      <c r="A1448" s="433"/>
      <c r="B1448" s="488"/>
      <c r="C1448" s="498"/>
      <c r="D1448" s="499"/>
      <c r="E1448" s="499"/>
      <c r="F1448" s="500"/>
      <c r="G1448" s="489"/>
      <c r="H1448" s="491"/>
      <c r="I1448" s="417"/>
      <c r="J1448" s="491"/>
      <c r="K1448" s="404"/>
      <c r="L1448" s="491">
        <f t="shared" si="413"/>
        <v>0</v>
      </c>
      <c r="M1448" s="491">
        <f t="shared" si="414"/>
        <v>0</v>
      </c>
      <c r="N1448" s="491">
        <f t="shared" si="415"/>
        <v>0</v>
      </c>
      <c r="O1448" s="404">
        <f t="shared" si="416"/>
        <v>0</v>
      </c>
      <c r="P1448" s="507">
        <f t="shared" si="417"/>
        <v>0</v>
      </c>
    </row>
    <row r="1449" spans="1:16" s="413" customFormat="1" ht="22.5" customHeight="1">
      <c r="A1449" s="433"/>
      <c r="B1449" s="488"/>
      <c r="C1449" s="498" t="s">
        <v>534</v>
      </c>
      <c r="D1449" s="499"/>
      <c r="E1449" s="499"/>
      <c r="F1449" s="500"/>
      <c r="G1449" s="489" t="s">
        <v>254</v>
      </c>
      <c r="H1449" s="491">
        <v>2</v>
      </c>
      <c r="I1449" s="417">
        <v>11486</v>
      </c>
      <c r="J1449" s="491">
        <v>10414</v>
      </c>
      <c r="K1449" s="404"/>
      <c r="L1449" s="491">
        <f t="shared" si="413"/>
        <v>10414</v>
      </c>
      <c r="M1449" s="491">
        <f t="shared" si="414"/>
        <v>22972</v>
      </c>
      <c r="N1449" s="491">
        <f t="shared" si="415"/>
        <v>20828</v>
      </c>
      <c r="O1449" s="404"/>
      <c r="P1449" s="507">
        <f t="shared" si="417"/>
        <v>20828</v>
      </c>
    </row>
    <row r="1450" spans="1:16" s="413" customFormat="1" ht="22.5" customHeight="1">
      <c r="A1450" s="433"/>
      <c r="B1450" s="488"/>
      <c r="C1450" s="498"/>
      <c r="D1450" s="499"/>
      <c r="E1450" s="499"/>
      <c r="F1450" s="500"/>
      <c r="G1450" s="489"/>
      <c r="H1450" s="491"/>
      <c r="I1450" s="417"/>
      <c r="J1450" s="491"/>
      <c r="K1450" s="404"/>
      <c r="L1450" s="491"/>
      <c r="M1450" s="491"/>
      <c r="N1450" s="491"/>
      <c r="O1450" s="404"/>
      <c r="P1450" s="507"/>
    </row>
    <row r="1451" spans="1:16" s="413" customFormat="1" ht="22.5" customHeight="1">
      <c r="A1451" s="433"/>
      <c r="B1451" s="488"/>
      <c r="C1451" s="501" t="s">
        <v>535</v>
      </c>
      <c r="D1451" s="502"/>
      <c r="E1451" s="502"/>
      <c r="F1451" s="500"/>
      <c r="G1451" s="489"/>
      <c r="H1451" s="491"/>
      <c r="I1451" s="417"/>
      <c r="J1451" s="491"/>
      <c r="K1451" s="404"/>
      <c r="L1451" s="491"/>
      <c r="M1451" s="491"/>
      <c r="N1451" s="491"/>
      <c r="O1451" s="404"/>
      <c r="P1451" s="507"/>
    </row>
    <row r="1452" spans="1:16" s="413" customFormat="1" ht="22.5" customHeight="1">
      <c r="A1452" s="433"/>
      <c r="B1452" s="488"/>
      <c r="C1452" s="498"/>
      <c r="D1452" s="499"/>
      <c r="E1452" s="499"/>
      <c r="F1452" s="500"/>
      <c r="G1452" s="489"/>
      <c r="H1452" s="491"/>
      <c r="I1452" s="417"/>
      <c r="J1452" s="491"/>
      <c r="K1452" s="404"/>
      <c r="L1452" s="491"/>
      <c r="M1452" s="491"/>
      <c r="N1452" s="491"/>
      <c r="O1452" s="404"/>
      <c r="P1452" s="507"/>
    </row>
    <row r="1453" spans="1:16" s="413" customFormat="1" ht="22.5" customHeight="1">
      <c r="A1453" s="433"/>
      <c r="B1453" s="488"/>
      <c r="C1453" s="498" t="s">
        <v>536</v>
      </c>
      <c r="D1453" s="499"/>
      <c r="E1453" s="499"/>
      <c r="F1453" s="500"/>
      <c r="G1453" s="489"/>
      <c r="H1453" s="491"/>
      <c r="I1453" s="417"/>
      <c r="J1453" s="491"/>
      <c r="K1453" s="404"/>
      <c r="L1453" s="491"/>
      <c r="M1453" s="491"/>
      <c r="N1453" s="491"/>
      <c r="O1453" s="404"/>
      <c r="P1453" s="507"/>
    </row>
    <row r="1454" spans="1:16" s="413" customFormat="1" ht="22.5" customHeight="1">
      <c r="A1454" s="433"/>
      <c r="B1454" s="488"/>
      <c r="C1454" s="498" t="s">
        <v>537</v>
      </c>
      <c r="D1454" s="499"/>
      <c r="E1454" s="499"/>
      <c r="F1454" s="500"/>
      <c r="G1454" s="489" t="s">
        <v>492</v>
      </c>
      <c r="H1454" s="491">
        <v>487.66</v>
      </c>
      <c r="I1454" s="417">
        <v>60</v>
      </c>
      <c r="J1454" s="491">
        <v>56</v>
      </c>
      <c r="K1454" s="404"/>
      <c r="L1454" s="491">
        <f>K1454+J1454</f>
        <v>56</v>
      </c>
      <c r="M1454" s="491">
        <f>H1454*I1454</f>
        <v>29259.600000000002</v>
      </c>
      <c r="N1454" s="491">
        <f>H1454*J1454</f>
        <v>27308.960000000003</v>
      </c>
      <c r="O1454" s="404"/>
      <c r="P1454" s="507">
        <f>H1454*L1454</f>
        <v>27308.960000000003</v>
      </c>
    </row>
    <row r="1455" spans="1:16" s="413" customFormat="1" ht="22.5" customHeight="1">
      <c r="A1455" s="433"/>
      <c r="B1455" s="488"/>
      <c r="C1455" s="498"/>
      <c r="D1455" s="499"/>
      <c r="E1455" s="499"/>
      <c r="F1455" s="500"/>
      <c r="G1455" s="489"/>
      <c r="H1455" s="491"/>
      <c r="I1455" s="417"/>
      <c r="J1455" s="491"/>
      <c r="K1455" s="404"/>
      <c r="L1455" s="491"/>
      <c r="M1455" s="491"/>
      <c r="N1455" s="491"/>
      <c r="O1455" s="404"/>
      <c r="P1455" s="507"/>
    </row>
    <row r="1456" spans="1:16" s="413" customFormat="1" ht="22.5" customHeight="1">
      <c r="A1456" s="433"/>
      <c r="B1456" s="488"/>
      <c r="C1456" s="498" t="s">
        <v>538</v>
      </c>
      <c r="D1456" s="499"/>
      <c r="E1456" s="499"/>
      <c r="F1456" s="500"/>
      <c r="G1456" s="489"/>
      <c r="H1456" s="491"/>
      <c r="I1456" s="417"/>
      <c r="J1456" s="491"/>
      <c r="K1456" s="404"/>
      <c r="L1456" s="491"/>
      <c r="M1456" s="491"/>
      <c r="N1456" s="491"/>
      <c r="O1456" s="404"/>
      <c r="P1456" s="507"/>
    </row>
    <row r="1457" spans="1:16" s="413" customFormat="1" ht="22.5" customHeight="1">
      <c r="A1457" s="433"/>
      <c r="B1457" s="488"/>
      <c r="C1457" s="498" t="s">
        <v>539</v>
      </c>
      <c r="D1457" s="499"/>
      <c r="E1457" s="499"/>
      <c r="F1457" s="500"/>
      <c r="G1457" s="489" t="s">
        <v>492</v>
      </c>
      <c r="H1457" s="491">
        <v>487.66</v>
      </c>
      <c r="I1457" s="417">
        <v>99</v>
      </c>
      <c r="J1457" s="491">
        <v>32</v>
      </c>
      <c r="K1457" s="404"/>
      <c r="L1457" s="491">
        <f t="shared" ref="L1457:L1462" si="418">K1457+J1457</f>
        <v>32</v>
      </c>
      <c r="M1457" s="491">
        <f t="shared" ref="M1457:M1462" si="419">H1457*I1457</f>
        <v>48278.340000000004</v>
      </c>
      <c r="N1457" s="491">
        <f t="shared" ref="N1457:N1462" si="420">H1457*J1457</f>
        <v>15605.12</v>
      </c>
      <c r="O1457" s="404"/>
      <c r="P1457" s="507">
        <f t="shared" ref="P1457:P1462" si="421">H1457*L1457</f>
        <v>15605.12</v>
      </c>
    </row>
    <row r="1458" spans="1:16" s="413" customFormat="1" ht="22.5" customHeight="1">
      <c r="A1458" s="433"/>
      <c r="B1458" s="488"/>
      <c r="C1458" s="498"/>
      <c r="D1458" s="499"/>
      <c r="E1458" s="499"/>
      <c r="F1458" s="500"/>
      <c r="G1458" s="489"/>
      <c r="H1458" s="491"/>
      <c r="I1458" s="417"/>
      <c r="J1458" s="491"/>
      <c r="K1458" s="404"/>
      <c r="L1458" s="491">
        <f t="shared" si="418"/>
        <v>0</v>
      </c>
      <c r="M1458" s="491">
        <f t="shared" si="419"/>
        <v>0</v>
      </c>
      <c r="N1458" s="491">
        <f t="shared" si="420"/>
        <v>0</v>
      </c>
      <c r="O1458" s="404"/>
      <c r="P1458" s="507">
        <f t="shared" si="421"/>
        <v>0</v>
      </c>
    </row>
    <row r="1459" spans="1:16" s="413" customFormat="1" ht="22.5" customHeight="1">
      <c r="A1459" s="433"/>
      <c r="B1459" s="488"/>
      <c r="C1459" s="498" t="s">
        <v>672</v>
      </c>
      <c r="D1459" s="499"/>
      <c r="E1459" s="499"/>
      <c r="F1459" s="500"/>
      <c r="G1459" s="489"/>
      <c r="H1459" s="491"/>
      <c r="I1459" s="417"/>
      <c r="J1459" s="491"/>
      <c r="K1459" s="404"/>
      <c r="L1459" s="491">
        <f t="shared" si="418"/>
        <v>0</v>
      </c>
      <c r="M1459" s="491">
        <f t="shared" si="419"/>
        <v>0</v>
      </c>
      <c r="N1459" s="491">
        <f t="shared" si="420"/>
        <v>0</v>
      </c>
      <c r="O1459" s="404"/>
      <c r="P1459" s="507">
        <f t="shared" si="421"/>
        <v>0</v>
      </c>
    </row>
    <row r="1460" spans="1:16" s="413" customFormat="1" ht="22.5" customHeight="1">
      <c r="A1460" s="433"/>
      <c r="B1460" s="488"/>
      <c r="C1460" s="498" t="s">
        <v>673</v>
      </c>
      <c r="D1460" s="499"/>
      <c r="E1460" s="499"/>
      <c r="F1460" s="500"/>
      <c r="G1460" s="489" t="s">
        <v>492</v>
      </c>
      <c r="H1460" s="491">
        <v>42</v>
      </c>
      <c r="I1460" s="417">
        <v>60</v>
      </c>
      <c r="J1460" s="491"/>
      <c r="K1460" s="404"/>
      <c r="L1460" s="491">
        <f t="shared" si="418"/>
        <v>0</v>
      </c>
      <c r="M1460" s="491">
        <f t="shared" si="419"/>
        <v>2520</v>
      </c>
      <c r="N1460" s="491">
        <f t="shared" si="420"/>
        <v>0</v>
      </c>
      <c r="O1460" s="404"/>
      <c r="P1460" s="507">
        <f t="shared" si="421"/>
        <v>0</v>
      </c>
    </row>
    <row r="1461" spans="1:16" s="413" customFormat="1" ht="22.5" customHeight="1">
      <c r="A1461" s="433"/>
      <c r="B1461" s="488"/>
      <c r="C1461" s="498"/>
      <c r="D1461" s="499"/>
      <c r="E1461" s="499"/>
      <c r="F1461" s="500"/>
      <c r="G1461" s="489"/>
      <c r="H1461" s="491"/>
      <c r="I1461" s="417"/>
      <c r="J1461" s="491"/>
      <c r="K1461" s="404"/>
      <c r="L1461" s="491">
        <f t="shared" si="418"/>
        <v>0</v>
      </c>
      <c r="M1461" s="491">
        <f t="shared" si="419"/>
        <v>0</v>
      </c>
      <c r="N1461" s="491">
        <f t="shared" si="420"/>
        <v>0</v>
      </c>
      <c r="O1461" s="404"/>
      <c r="P1461" s="507">
        <f t="shared" si="421"/>
        <v>0</v>
      </c>
    </row>
    <row r="1462" spans="1:16" s="413" customFormat="1" ht="22.5" customHeight="1" thickBot="1">
      <c r="A1462" s="433"/>
      <c r="B1462" s="492"/>
      <c r="C1462" s="504" t="s">
        <v>674</v>
      </c>
      <c r="D1462" s="505"/>
      <c r="E1462" s="505"/>
      <c r="F1462" s="506"/>
      <c r="G1462" s="493" t="s">
        <v>492</v>
      </c>
      <c r="H1462" s="490">
        <v>42</v>
      </c>
      <c r="I1462" s="419">
        <v>99</v>
      </c>
      <c r="J1462" s="490"/>
      <c r="K1462" s="406"/>
      <c r="L1462" s="490">
        <f t="shared" si="418"/>
        <v>0</v>
      </c>
      <c r="M1462" s="490">
        <f t="shared" si="419"/>
        <v>4158</v>
      </c>
      <c r="N1462" s="490">
        <f t="shared" si="420"/>
        <v>0</v>
      </c>
      <c r="O1462" s="406"/>
      <c r="P1462" s="508">
        <f t="shared" si="421"/>
        <v>0</v>
      </c>
    </row>
    <row r="1463" spans="1:16" s="413" customFormat="1" ht="21" customHeight="1" thickTop="1" thickBot="1">
      <c r="A1463" s="433"/>
      <c r="B1463" s="517"/>
      <c r="C1463" s="518" t="s">
        <v>312</v>
      </c>
      <c r="D1463" s="519"/>
      <c r="E1463" s="519"/>
      <c r="F1463" s="520"/>
      <c r="G1463" s="521"/>
      <c r="H1463" s="522"/>
      <c r="I1463" s="420"/>
      <c r="J1463" s="522"/>
      <c r="K1463" s="407">
        <f t="shared" ref="K1463:L1463" si="422">SUM(K1384:K1462)</f>
        <v>0</v>
      </c>
      <c r="L1463" s="523">
        <f t="shared" si="422"/>
        <v>33954.800000000003</v>
      </c>
      <c r="M1463" s="523">
        <f>SUM(M1384:M1462)</f>
        <v>1724048.6400000001</v>
      </c>
      <c r="N1463" s="523">
        <f>SUM(N1384:N1462)</f>
        <v>1420167.2300000002</v>
      </c>
      <c r="O1463" s="407">
        <f>SUM(O1384:O1462)</f>
        <v>0</v>
      </c>
      <c r="P1463" s="525">
        <f>SUM(P1384:P1462)</f>
        <v>1420167.2300000002</v>
      </c>
    </row>
    <row r="1464" spans="1:16" ht="16.5" thickTop="1">
      <c r="A1464" s="260"/>
      <c r="B1464" s="331"/>
      <c r="C1464" s="247"/>
      <c r="D1464" s="247"/>
      <c r="E1464" s="247"/>
      <c r="F1464" s="247"/>
      <c r="G1464" s="332"/>
      <c r="H1464" s="247"/>
      <c r="I1464" s="428"/>
      <c r="J1464" s="247"/>
      <c r="K1464" s="412"/>
      <c r="L1464" s="247"/>
      <c r="M1464" s="247"/>
      <c r="N1464" s="247"/>
      <c r="O1464" s="412"/>
      <c r="P1464" s="333"/>
    </row>
    <row r="1465" spans="1:16">
      <c r="A1465" s="260"/>
      <c r="B1465" s="260"/>
      <c r="C1465" s="260"/>
      <c r="P1465" s="260"/>
    </row>
    <row r="1466" spans="1:16">
      <c r="A1466" s="260"/>
      <c r="P1466" s="260"/>
    </row>
    <row r="1467" spans="1:16">
      <c r="A1467" s="260"/>
      <c r="P1467" s="260"/>
    </row>
    <row r="1468" spans="1:16">
      <c r="A1468" s="260"/>
      <c r="P1468" s="260"/>
    </row>
    <row r="1469" spans="1:16" ht="15.75">
      <c r="A1469" s="260"/>
      <c r="P1469" s="334"/>
    </row>
    <row r="1470" spans="1:16" ht="15.75">
      <c r="A1470" s="260"/>
      <c r="P1470" s="334"/>
    </row>
    <row r="1471" spans="1:16" ht="15.75">
      <c r="A1471" s="260"/>
      <c r="P1471" s="334"/>
    </row>
    <row r="1472" spans="1:16" ht="15.75">
      <c r="A1472" s="260"/>
      <c r="P1472" s="334"/>
    </row>
    <row r="1473" spans="1:16" ht="15.75">
      <c r="A1473" s="260"/>
      <c r="P1473" s="334"/>
    </row>
    <row r="1474" spans="1:16" ht="15.75">
      <c r="A1474" s="260"/>
      <c r="P1474" s="335"/>
    </row>
    <row r="1475" spans="1:16">
      <c r="A1475" s="260"/>
      <c r="P1475" s="260"/>
    </row>
    <row r="1476" spans="1:16">
      <c r="A1476" s="260"/>
      <c r="P1476" s="260"/>
    </row>
    <row r="1477" spans="1:16">
      <c r="A1477" s="260"/>
      <c r="P1477" s="260"/>
    </row>
    <row r="1478" spans="1:16">
      <c r="A1478" s="260"/>
      <c r="P1478" s="260"/>
    </row>
    <row r="1479" spans="1:16">
      <c r="A1479" s="260"/>
      <c r="P1479" s="260"/>
    </row>
    <row r="1480" spans="1:16">
      <c r="A1480" s="260"/>
      <c r="P1480" s="260"/>
    </row>
    <row r="1481" spans="1:16" ht="15.75">
      <c r="A1481" s="260"/>
      <c r="P1481" s="334"/>
    </row>
    <row r="1482" spans="1:16" ht="15.75">
      <c r="A1482" s="260"/>
      <c r="P1482" s="334"/>
    </row>
    <row r="1483" spans="1:16" ht="15.75">
      <c r="A1483" s="260"/>
      <c r="P1483" s="334"/>
    </row>
    <row r="1484" spans="1:16" ht="15.75">
      <c r="A1484" s="260"/>
      <c r="P1484" s="334"/>
    </row>
    <row r="1485" spans="1:16" ht="15.75">
      <c r="A1485" s="260"/>
      <c r="P1485" s="334"/>
    </row>
    <row r="1486" spans="1:16" ht="15.75">
      <c r="A1486" s="260"/>
      <c r="P1486" s="334"/>
    </row>
    <row r="1487" spans="1:16" ht="15.75">
      <c r="A1487" s="260"/>
      <c r="P1487" s="334"/>
    </row>
    <row r="1488" spans="1:16" ht="15.75">
      <c r="A1488" s="260"/>
      <c r="P1488" s="335"/>
    </row>
    <row r="1489" spans="1:16" ht="15.75">
      <c r="A1489" s="260"/>
      <c r="P1489" s="335"/>
    </row>
    <row r="1490" spans="1:16">
      <c r="A1490" s="260"/>
      <c r="P1490" s="336"/>
    </row>
    <row r="1491" spans="1:16">
      <c r="A1491" s="260"/>
      <c r="P1491" s="260"/>
    </row>
    <row r="1492" spans="1:16">
      <c r="A1492" s="260"/>
      <c r="P1492" s="260"/>
    </row>
    <row r="1493" spans="1:16">
      <c r="A1493" s="260"/>
      <c r="P1493" s="260"/>
    </row>
    <row r="1494" spans="1:16">
      <c r="A1494" s="260"/>
      <c r="P1494" s="260"/>
    </row>
    <row r="1495" spans="1:16">
      <c r="A1495" s="260"/>
      <c r="P1495" s="260"/>
    </row>
    <row r="1496" spans="1:16">
      <c r="A1496" s="260"/>
      <c r="P1496" s="260"/>
    </row>
    <row r="1497" spans="1:16">
      <c r="A1497" s="260"/>
      <c r="P1497" s="260"/>
    </row>
    <row r="1498" spans="1:16">
      <c r="A1498" s="260"/>
      <c r="P1498" s="260"/>
    </row>
    <row r="1499" spans="1:16">
      <c r="A1499" s="260"/>
      <c r="P1499" s="260"/>
    </row>
    <row r="1500" spans="1:16">
      <c r="A1500" s="260"/>
      <c r="P1500" s="260"/>
    </row>
    <row r="1501" spans="1:16">
      <c r="A1501" s="260"/>
      <c r="P1501" s="260"/>
    </row>
    <row r="1502" spans="1:16">
      <c r="A1502" s="260"/>
      <c r="P1502" s="260"/>
    </row>
    <row r="1503" spans="1:16">
      <c r="A1503" s="260"/>
      <c r="P1503" s="260"/>
    </row>
    <row r="1504" spans="1:16">
      <c r="A1504" s="260"/>
      <c r="P1504" s="260"/>
    </row>
    <row r="1505" spans="1:16">
      <c r="A1505" s="260"/>
      <c r="P1505" s="260"/>
    </row>
    <row r="1506" spans="1:16">
      <c r="A1506" s="260"/>
      <c r="P1506" s="260"/>
    </row>
    <row r="1507" spans="1:16">
      <c r="A1507" s="260"/>
      <c r="P1507" s="260"/>
    </row>
    <row r="1508" spans="1:16">
      <c r="A1508" s="260"/>
      <c r="P1508" s="260"/>
    </row>
    <row r="1509" spans="1:16">
      <c r="A1509" s="260"/>
      <c r="P1509" s="260"/>
    </row>
    <row r="1510" spans="1:16">
      <c r="A1510" s="260"/>
      <c r="P1510" s="260"/>
    </row>
    <row r="1511" spans="1:16">
      <c r="A1511" s="260"/>
      <c r="P1511" s="260"/>
    </row>
    <row r="1512" spans="1:16">
      <c r="A1512" s="260"/>
      <c r="P1512" s="260"/>
    </row>
    <row r="1513" spans="1:16">
      <c r="A1513" s="260"/>
      <c r="P1513" s="260"/>
    </row>
    <row r="1514" spans="1:16">
      <c r="A1514" s="260"/>
      <c r="P1514" s="260"/>
    </row>
    <row r="1515" spans="1:16">
      <c r="A1515" s="260"/>
      <c r="P1515" s="260"/>
    </row>
    <row r="1516" spans="1:16">
      <c r="A1516" s="260"/>
      <c r="P1516" s="260"/>
    </row>
    <row r="1517" spans="1:16">
      <c r="A1517" s="260"/>
      <c r="P1517" s="260"/>
    </row>
    <row r="1518" spans="1:16">
      <c r="A1518" s="260"/>
      <c r="P1518" s="260"/>
    </row>
    <row r="1519" spans="1:16">
      <c r="A1519" s="260"/>
      <c r="P1519" s="260"/>
    </row>
    <row r="1520" spans="1:16">
      <c r="A1520" s="260"/>
    </row>
    <row r="1521" spans="1:1">
      <c r="A1521" s="260"/>
    </row>
    <row r="1522" spans="1:1">
      <c r="A1522" s="260"/>
    </row>
    <row r="1523" spans="1:1">
      <c r="A1523" s="260"/>
    </row>
    <row r="1524" spans="1:1">
      <c r="A1524" s="260"/>
    </row>
    <row r="1525" spans="1:1">
      <c r="A1525" s="260"/>
    </row>
    <row r="1526" spans="1:1">
      <c r="A1526" s="260"/>
    </row>
    <row r="1527" spans="1:1">
      <c r="A1527" s="260"/>
    </row>
    <row r="1528" spans="1:1">
      <c r="A1528" s="260"/>
    </row>
    <row r="1529" spans="1:1">
      <c r="A1529" s="260"/>
    </row>
    <row r="1530" spans="1:1">
      <c r="A1530" s="260"/>
    </row>
    <row r="1531" spans="1:1">
      <c r="A1531" s="260"/>
    </row>
    <row r="1532" spans="1:1">
      <c r="A1532" s="260"/>
    </row>
    <row r="1533" spans="1:1">
      <c r="A1533" s="260"/>
    </row>
    <row r="1534" spans="1:1">
      <c r="A1534" s="260"/>
    </row>
    <row r="1535" spans="1:1">
      <c r="A1535" s="260"/>
    </row>
    <row r="1536" spans="1:1">
      <c r="A1536" s="260"/>
    </row>
    <row r="1537" spans="1:1">
      <c r="A1537" s="260"/>
    </row>
    <row r="1538" spans="1:1">
      <c r="A1538" s="260"/>
    </row>
    <row r="1539" spans="1:1">
      <c r="A1539" s="260"/>
    </row>
    <row r="1540" spans="1:1">
      <c r="A1540" s="260"/>
    </row>
    <row r="1541" spans="1:1">
      <c r="A1541" s="260"/>
    </row>
    <row r="1542" spans="1:1">
      <c r="A1542" s="260"/>
    </row>
    <row r="1543" spans="1:1">
      <c r="A1543" s="260"/>
    </row>
    <row r="1544" spans="1:1">
      <c r="A1544" s="260"/>
    </row>
    <row r="1545" spans="1:1">
      <c r="A1545" s="260"/>
    </row>
    <row r="1546" spans="1:1">
      <c r="A1546" s="260"/>
    </row>
    <row r="1547" spans="1:1">
      <c r="A1547" s="260"/>
    </row>
    <row r="1548" spans="1:1">
      <c r="A1548" s="260"/>
    </row>
    <row r="1549" spans="1:1">
      <c r="A1549" s="260"/>
    </row>
    <row r="1550" spans="1:1">
      <c r="A1550" s="260"/>
    </row>
    <row r="1551" spans="1:1">
      <c r="A1551" s="260"/>
    </row>
    <row r="1552" spans="1:1">
      <c r="A1552" s="260"/>
    </row>
    <row r="1553" spans="1:1">
      <c r="A1553" s="260"/>
    </row>
    <row r="1554" spans="1:1">
      <c r="A1554" s="260"/>
    </row>
    <row r="1555" spans="1:1">
      <c r="A1555" s="260"/>
    </row>
    <row r="1556" spans="1:1">
      <c r="A1556" s="260"/>
    </row>
    <row r="1557" spans="1:1">
      <c r="A1557" s="260"/>
    </row>
    <row r="1558" spans="1:1">
      <c r="A1558" s="260"/>
    </row>
    <row r="1559" spans="1:1">
      <c r="A1559" s="260"/>
    </row>
    <row r="1560" spans="1:1">
      <c r="A1560" s="260"/>
    </row>
    <row r="1561" spans="1:1">
      <c r="A1561" s="260"/>
    </row>
    <row r="1562" spans="1:1">
      <c r="A1562" s="260"/>
    </row>
    <row r="1563" spans="1:1">
      <c r="A1563" s="260"/>
    </row>
    <row r="1564" spans="1:1">
      <c r="A1564" s="260"/>
    </row>
    <row r="1565" spans="1:1">
      <c r="A1565" s="260"/>
    </row>
    <row r="1566" spans="1:1">
      <c r="A1566" s="260"/>
    </row>
    <row r="1567" spans="1:1">
      <c r="A1567" s="260"/>
    </row>
    <row r="1568" spans="1:1">
      <c r="A1568" s="260"/>
    </row>
    <row r="1569" spans="1:1">
      <c r="A1569" s="260"/>
    </row>
    <row r="1570" spans="1:1">
      <c r="A1570" s="260"/>
    </row>
    <row r="1571" spans="1:1">
      <c r="A1571" s="260"/>
    </row>
    <row r="1572" spans="1:1">
      <c r="A1572" s="260"/>
    </row>
    <row r="1573" spans="1:1">
      <c r="A1573" s="260"/>
    </row>
    <row r="1574" spans="1:1">
      <c r="A1574" s="260"/>
    </row>
    <row r="1575" spans="1:1">
      <c r="A1575" s="260"/>
    </row>
    <row r="1576" spans="1:1">
      <c r="A1576" s="260"/>
    </row>
    <row r="1577" spans="1:1">
      <c r="A1577" s="260"/>
    </row>
    <row r="1578" spans="1:1">
      <c r="A1578" s="260"/>
    </row>
    <row r="1579" spans="1:1">
      <c r="A1579" s="260"/>
    </row>
    <row r="1580" spans="1:1">
      <c r="A1580" s="260"/>
    </row>
    <row r="1581" spans="1:1">
      <c r="A1581" s="260"/>
    </row>
    <row r="1582" spans="1:1">
      <c r="A1582" s="260"/>
    </row>
    <row r="1583" spans="1:1">
      <c r="A1583" s="260"/>
    </row>
    <row r="1584" spans="1:1">
      <c r="A1584" s="260"/>
    </row>
    <row r="1585" spans="1:1">
      <c r="A1585" s="260"/>
    </row>
    <row r="1586" spans="1:1">
      <c r="A1586" s="260"/>
    </row>
    <row r="1587" spans="1:1">
      <c r="A1587" s="260"/>
    </row>
    <row r="1588" spans="1:1">
      <c r="A1588" s="260"/>
    </row>
    <row r="1589" spans="1:1">
      <c r="A1589" s="260"/>
    </row>
    <row r="1590" spans="1:1">
      <c r="A1590" s="260"/>
    </row>
    <row r="1591" spans="1:1">
      <c r="A1591" s="260"/>
    </row>
    <row r="1592" spans="1:1">
      <c r="A1592" s="260"/>
    </row>
    <row r="1593" spans="1:1">
      <c r="A1593" s="260"/>
    </row>
    <row r="1594" spans="1:1">
      <c r="A1594" s="260"/>
    </row>
    <row r="1595" spans="1:1">
      <c r="A1595" s="260"/>
    </row>
    <row r="1596" spans="1:1">
      <c r="A1596" s="260"/>
    </row>
    <row r="1597" spans="1:1">
      <c r="A1597" s="260"/>
    </row>
    <row r="1598" spans="1:1">
      <c r="A1598" s="260"/>
    </row>
    <row r="1599" spans="1:1">
      <c r="A1599" s="260"/>
    </row>
    <row r="1600" spans="1:1">
      <c r="A1600" s="260"/>
    </row>
    <row r="1601" spans="1:1">
      <c r="A1601" s="260"/>
    </row>
    <row r="1602" spans="1:1">
      <c r="A1602" s="260"/>
    </row>
    <row r="1603" spans="1:1">
      <c r="A1603" s="260"/>
    </row>
    <row r="1604" spans="1:1">
      <c r="A1604" s="260"/>
    </row>
    <row r="1605" spans="1:1">
      <c r="A1605" s="260"/>
    </row>
    <row r="1606" spans="1:1">
      <c r="A1606" s="260"/>
    </row>
    <row r="1607" spans="1:1">
      <c r="A1607" s="260"/>
    </row>
    <row r="1608" spans="1:1">
      <c r="A1608" s="260"/>
    </row>
    <row r="1609" spans="1:1">
      <c r="A1609" s="260"/>
    </row>
    <row r="1610" spans="1:1">
      <c r="A1610" s="260"/>
    </row>
    <row r="1611" spans="1:1">
      <c r="A1611" s="260"/>
    </row>
    <row r="1612" spans="1:1">
      <c r="A1612" s="260"/>
    </row>
    <row r="1613" spans="1:1">
      <c r="A1613" s="260"/>
    </row>
    <row r="1614" spans="1:1">
      <c r="A1614" s="260"/>
    </row>
    <row r="1615" spans="1:1">
      <c r="A1615" s="260"/>
    </row>
    <row r="1616" spans="1:1">
      <c r="A1616" s="260"/>
    </row>
    <row r="1617" spans="1:1">
      <c r="A1617" s="260"/>
    </row>
    <row r="1618" spans="1:1">
      <c r="A1618" s="260"/>
    </row>
    <row r="1619" spans="1:1">
      <c r="A1619" s="260"/>
    </row>
    <row r="1620" spans="1:1">
      <c r="A1620" s="260"/>
    </row>
    <row r="1621" spans="1:1">
      <c r="A1621" s="260"/>
    </row>
    <row r="1622" spans="1:1">
      <c r="A1622" s="260"/>
    </row>
    <row r="1623" spans="1:1">
      <c r="A1623" s="260"/>
    </row>
    <row r="1624" spans="1:1">
      <c r="A1624" s="260"/>
    </row>
    <row r="1625" spans="1:1">
      <c r="A1625" s="260"/>
    </row>
    <row r="1626" spans="1:1">
      <c r="A1626" s="260"/>
    </row>
    <row r="1627" spans="1:1">
      <c r="A1627" s="260"/>
    </row>
    <row r="1628" spans="1:1">
      <c r="A1628" s="260"/>
    </row>
    <row r="1629" spans="1:1">
      <c r="A1629" s="260"/>
    </row>
    <row r="1630" spans="1:1">
      <c r="A1630" s="260"/>
    </row>
    <row r="1631" spans="1:1">
      <c r="A1631" s="260"/>
    </row>
    <row r="1632" spans="1:1">
      <c r="A1632" s="260"/>
    </row>
    <row r="1633" spans="1:1">
      <c r="A1633" s="260"/>
    </row>
    <row r="1634" spans="1:1">
      <c r="A1634" s="260"/>
    </row>
    <row r="1635" spans="1:1">
      <c r="A1635" s="260"/>
    </row>
    <row r="1636" spans="1:1">
      <c r="A1636" s="260"/>
    </row>
    <row r="1637" spans="1:1">
      <c r="A1637" s="260"/>
    </row>
    <row r="1638" spans="1:1">
      <c r="A1638" s="260"/>
    </row>
    <row r="1639" spans="1:1">
      <c r="A1639" s="260"/>
    </row>
    <row r="1640" spans="1:1">
      <c r="A1640" s="260"/>
    </row>
    <row r="1641" spans="1:1">
      <c r="A1641" s="260"/>
    </row>
    <row r="1642" spans="1:1">
      <c r="A1642" s="260"/>
    </row>
    <row r="1643" spans="1:1">
      <c r="A1643" s="260"/>
    </row>
    <row r="1644" spans="1:1">
      <c r="A1644" s="260"/>
    </row>
    <row r="1645" spans="1:1">
      <c r="A1645" s="260"/>
    </row>
    <row r="1646" spans="1:1">
      <c r="A1646" s="260"/>
    </row>
    <row r="1647" spans="1:1">
      <c r="A1647" s="260"/>
    </row>
    <row r="1648" spans="1:1">
      <c r="A1648" s="260"/>
    </row>
    <row r="1649" spans="1:1">
      <c r="A1649" s="260"/>
    </row>
    <row r="1650" spans="1:1">
      <c r="A1650" s="260"/>
    </row>
    <row r="1651" spans="1:1">
      <c r="A1651" s="260"/>
    </row>
    <row r="1652" spans="1:1">
      <c r="A1652" s="260"/>
    </row>
    <row r="1653" spans="1:1">
      <c r="A1653" s="260"/>
    </row>
    <row r="1654" spans="1:1">
      <c r="A1654" s="260"/>
    </row>
    <row r="1655" spans="1:1">
      <c r="A1655" s="260"/>
    </row>
    <row r="1656" spans="1:1">
      <c r="A1656" s="260"/>
    </row>
    <row r="1657" spans="1:1">
      <c r="A1657" s="260"/>
    </row>
    <row r="1658" spans="1:1">
      <c r="A1658" s="260"/>
    </row>
    <row r="1659" spans="1:1">
      <c r="A1659" s="260"/>
    </row>
    <row r="1660" spans="1:1">
      <c r="A1660" s="260"/>
    </row>
    <row r="1661" spans="1:1">
      <c r="A1661" s="260"/>
    </row>
    <row r="1662" spans="1:1">
      <c r="A1662" s="260"/>
    </row>
    <row r="1663" spans="1:1">
      <c r="A1663" s="260"/>
    </row>
    <row r="1664" spans="1:1">
      <c r="A1664" s="260"/>
    </row>
    <row r="1665" spans="1:1">
      <c r="A1665" s="260"/>
    </row>
    <row r="1666" spans="1:1">
      <c r="A1666" s="260"/>
    </row>
    <row r="1667" spans="1:1">
      <c r="A1667" s="260"/>
    </row>
    <row r="1668" spans="1:1">
      <c r="A1668" s="260"/>
    </row>
    <row r="1669" spans="1:1">
      <c r="A1669" s="260"/>
    </row>
    <row r="1670" spans="1:1">
      <c r="A1670" s="260"/>
    </row>
    <row r="1671" spans="1:1">
      <c r="A1671" s="260"/>
    </row>
    <row r="1672" spans="1:1">
      <c r="A1672" s="260"/>
    </row>
    <row r="1673" spans="1:1">
      <c r="A1673" s="260"/>
    </row>
    <row r="1674" spans="1:1">
      <c r="A1674" s="260"/>
    </row>
    <row r="1675" spans="1:1">
      <c r="A1675" s="260"/>
    </row>
    <row r="1676" spans="1:1">
      <c r="A1676" s="260"/>
    </row>
    <row r="1677" spans="1:1">
      <c r="A1677" s="260"/>
    </row>
    <row r="1678" spans="1:1">
      <c r="A1678" s="260"/>
    </row>
    <row r="1679" spans="1:1">
      <c r="A1679" s="260"/>
    </row>
    <row r="1680" spans="1:1">
      <c r="A1680" s="260"/>
    </row>
    <row r="1681" spans="1:1">
      <c r="A1681" s="260"/>
    </row>
    <row r="1682" spans="1:1">
      <c r="A1682" s="260"/>
    </row>
    <row r="1683" spans="1:1">
      <c r="A1683" s="260"/>
    </row>
    <row r="1684" spans="1:1">
      <c r="A1684" s="260"/>
    </row>
    <row r="1685" spans="1:1">
      <c r="A1685" s="260"/>
    </row>
    <row r="1686" spans="1:1">
      <c r="A1686" s="260"/>
    </row>
    <row r="1687" spans="1:1">
      <c r="A1687" s="260"/>
    </row>
    <row r="1688" spans="1:1">
      <c r="A1688" s="260"/>
    </row>
    <row r="1689" spans="1:1">
      <c r="A1689" s="260"/>
    </row>
    <row r="1690" spans="1:1">
      <c r="A1690" s="260"/>
    </row>
    <row r="1691" spans="1:1">
      <c r="A1691" s="260"/>
    </row>
    <row r="1692" spans="1:1">
      <c r="A1692" s="260"/>
    </row>
    <row r="1693" spans="1:1">
      <c r="A1693" s="260"/>
    </row>
    <row r="1694" spans="1:1">
      <c r="A1694" s="260"/>
    </row>
    <row r="1695" spans="1:1">
      <c r="A1695" s="260"/>
    </row>
    <row r="1696" spans="1:1">
      <c r="A1696" s="260"/>
    </row>
    <row r="1697" spans="1:1">
      <c r="A1697" s="260"/>
    </row>
    <row r="1698" spans="1:1">
      <c r="A1698" s="260"/>
    </row>
    <row r="1699" spans="1:1">
      <c r="A1699" s="260"/>
    </row>
    <row r="1700" spans="1:1">
      <c r="A1700" s="260"/>
    </row>
    <row r="1712" spans="1:1" ht="15.75" customHeight="1"/>
  </sheetData>
  <mergeCells count="252">
    <mergeCell ref="C918:F918"/>
    <mergeCell ref="C919:F919"/>
    <mergeCell ref="C920:F920"/>
    <mergeCell ref="C921:F921"/>
    <mergeCell ref="C922:F922"/>
    <mergeCell ref="C910:F910"/>
    <mergeCell ref="C911:F911"/>
    <mergeCell ref="C912:F912"/>
    <mergeCell ref="C913:F913"/>
    <mergeCell ref="C914:F914"/>
    <mergeCell ref="C915:F915"/>
    <mergeCell ref="C916:F916"/>
    <mergeCell ref="C917:F917"/>
    <mergeCell ref="C904:F904"/>
    <mergeCell ref="C905:F905"/>
    <mergeCell ref="C906:F906"/>
    <mergeCell ref="C907:F907"/>
    <mergeCell ref="C908:F908"/>
    <mergeCell ref="C909:F909"/>
    <mergeCell ref="C871:F871"/>
    <mergeCell ref="C872:F872"/>
    <mergeCell ref="C873:F873"/>
    <mergeCell ref="C874:F874"/>
    <mergeCell ref="C875:F875"/>
    <mergeCell ref="C876:F876"/>
    <mergeCell ref="C877:F877"/>
    <mergeCell ref="C878:F878"/>
    <mergeCell ref="C879:F879"/>
    <mergeCell ref="C880:F880"/>
    <mergeCell ref="C881:F881"/>
    <mergeCell ref="C882:F882"/>
    <mergeCell ref="C883:F883"/>
    <mergeCell ref="C894:F894"/>
    <mergeCell ref="C895:F895"/>
    <mergeCell ref="C896:F896"/>
    <mergeCell ref="C897:F897"/>
    <mergeCell ref="C884:F884"/>
    <mergeCell ref="C849:F849"/>
    <mergeCell ref="C850:F850"/>
    <mergeCell ref="C851:F851"/>
    <mergeCell ref="C840:F840"/>
    <mergeCell ref="C841:F841"/>
    <mergeCell ref="C842:F842"/>
    <mergeCell ref="C843:F843"/>
    <mergeCell ref="C844:F844"/>
    <mergeCell ref="C845:F845"/>
    <mergeCell ref="C846:F846"/>
    <mergeCell ref="C847:F847"/>
    <mergeCell ref="C848:F848"/>
    <mergeCell ref="C867:F867"/>
    <mergeCell ref="C868:F868"/>
    <mergeCell ref="C869:F869"/>
    <mergeCell ref="C870:F870"/>
    <mergeCell ref="C273:F273"/>
    <mergeCell ref="C276:F276"/>
    <mergeCell ref="C277:F277"/>
    <mergeCell ref="C278:F278"/>
    <mergeCell ref="C279:F279"/>
    <mergeCell ref="C280:F280"/>
    <mergeCell ref="C281:F281"/>
    <mergeCell ref="C282:F282"/>
    <mergeCell ref="C592:F592"/>
    <mergeCell ref="C577:F577"/>
    <mergeCell ref="C836:F836"/>
    <mergeCell ref="C837:F837"/>
    <mergeCell ref="C624:F624"/>
    <mergeCell ref="C375:F375"/>
    <mergeCell ref="C542:F542"/>
    <mergeCell ref="C336:F336"/>
    <mergeCell ref="C615:F615"/>
    <mergeCell ref="C608:F608"/>
    <mergeCell ref="C610:F610"/>
    <mergeCell ref="C838:F838"/>
    <mergeCell ref="B828:B835"/>
    <mergeCell ref="C776:F776"/>
    <mergeCell ref="C628:F628"/>
    <mergeCell ref="C763:F763"/>
    <mergeCell ref="C764:F764"/>
    <mergeCell ref="C765:F765"/>
    <mergeCell ref="C766:F766"/>
    <mergeCell ref="C767:F767"/>
    <mergeCell ref="C768:F768"/>
    <mergeCell ref="C750:F750"/>
    <mergeCell ref="C775:F775"/>
    <mergeCell ref="C770:F770"/>
    <mergeCell ref="C771:F771"/>
    <mergeCell ref="C746:F746"/>
    <mergeCell ref="C748:F748"/>
    <mergeCell ref="C637:F637"/>
    <mergeCell ref="C773:F773"/>
    <mergeCell ref="C760:F760"/>
    <mergeCell ref="C774:F774"/>
    <mergeCell ref="C616:F616"/>
    <mergeCell ref="C617:F617"/>
    <mergeCell ref="C618:F618"/>
    <mergeCell ref="C619:F619"/>
    <mergeCell ref="C603:F603"/>
    <mergeCell ref="C620:F620"/>
    <mergeCell ref="C614:F614"/>
    <mergeCell ref="C455:F455"/>
    <mergeCell ref="C520:F520"/>
    <mergeCell ref="C585:F585"/>
    <mergeCell ref="C213:F213"/>
    <mergeCell ref="C1365:F1365"/>
    <mergeCell ref="C1366:F1366"/>
    <mergeCell ref="C1176:F1177"/>
    <mergeCell ref="C1178:F1178"/>
    <mergeCell ref="C1180:F1182"/>
    <mergeCell ref="C1185:F1185"/>
    <mergeCell ref="C1186:F1186"/>
    <mergeCell ref="C1187:F1187"/>
    <mergeCell ref="C1269:F1269"/>
    <mergeCell ref="C1265:F1265"/>
    <mergeCell ref="C1267:F1267"/>
    <mergeCell ref="C1120:F1122"/>
    <mergeCell ref="C1364:F1364"/>
    <mergeCell ref="C778:F778"/>
    <mergeCell ref="C779:F779"/>
    <mergeCell ref="C780:F780"/>
    <mergeCell ref="C772:F772"/>
    <mergeCell ref="C331:F331"/>
    <mergeCell ref="C548:F548"/>
    <mergeCell ref="C550:F550"/>
    <mergeCell ref="C551:F551"/>
    <mergeCell ref="C552:F552"/>
    <mergeCell ref="C777:F777"/>
    <mergeCell ref="C247:F247"/>
    <mergeCell ref="C422:F422"/>
    <mergeCell ref="C476:F476"/>
    <mergeCell ref="C477:F477"/>
    <mergeCell ref="C541:F541"/>
    <mergeCell ref="C485:F485"/>
    <mergeCell ref="C242:F242"/>
    <mergeCell ref="C243:F243"/>
    <mergeCell ref="C244:F244"/>
    <mergeCell ref="C330:F330"/>
    <mergeCell ref="C421:F421"/>
    <mergeCell ref="C271:F271"/>
    <mergeCell ref="C303:F303"/>
    <mergeCell ref="C305:F305"/>
    <mergeCell ref="C308:F308"/>
    <mergeCell ref="C309:F309"/>
    <mergeCell ref="C310:F310"/>
    <mergeCell ref="C311:F311"/>
    <mergeCell ref="C312:F312"/>
    <mergeCell ref="C313:F313"/>
    <mergeCell ref="C314:F314"/>
    <mergeCell ref="C403:F403"/>
    <mergeCell ref="C333:F333"/>
    <mergeCell ref="C334:F334"/>
    <mergeCell ref="C209:F209"/>
    <mergeCell ref="C625:F625"/>
    <mergeCell ref="C208:F208"/>
    <mergeCell ref="C234:F234"/>
    <mergeCell ref="C236:F236"/>
    <mergeCell ref="C478:F478"/>
    <mergeCell ref="C479:F479"/>
    <mergeCell ref="C480:F480"/>
    <mergeCell ref="C481:F481"/>
    <mergeCell ref="C483:F483"/>
    <mergeCell ref="C376:F376"/>
    <mergeCell ref="C543:F543"/>
    <mergeCell ref="C544:F544"/>
    <mergeCell ref="C545:F545"/>
    <mergeCell ref="C245:F245"/>
    <mergeCell ref="C246:F246"/>
    <mergeCell ref="C210:F210"/>
    <mergeCell ref="C211:F211"/>
    <mergeCell ref="C546:F546"/>
    <mergeCell ref="C623:F623"/>
    <mergeCell ref="C212:F212"/>
    <mergeCell ref="C248:F248"/>
    <mergeCell ref="C249:F249"/>
    <mergeCell ref="C250:F250"/>
    <mergeCell ref="C12:F12"/>
    <mergeCell ref="M12:P12"/>
    <mergeCell ref="I12:L12"/>
    <mergeCell ref="C98:F98"/>
    <mergeCell ref="C100:F100"/>
    <mergeCell ref="C96:F96"/>
    <mergeCell ref="C93:F93"/>
    <mergeCell ref="C13:F13"/>
    <mergeCell ref="C14:F14"/>
    <mergeCell ref="C113:F113"/>
    <mergeCell ref="C119:F119"/>
    <mergeCell ref="C125:F125"/>
    <mergeCell ref="C126:F126"/>
    <mergeCell ref="C145:F145"/>
    <mergeCell ref="C173:F173"/>
    <mergeCell ref="C156:F156"/>
    <mergeCell ref="C174:F174"/>
    <mergeCell ref="C175:F175"/>
    <mergeCell ref="C151:F151"/>
    <mergeCell ref="C152:F152"/>
    <mergeCell ref="C102:F102"/>
    <mergeCell ref="C104:F104"/>
    <mergeCell ref="C105:E105"/>
    <mergeCell ref="C106:F106"/>
    <mergeCell ref="C107:E107"/>
    <mergeCell ref="C108:F108"/>
    <mergeCell ref="C109:F109"/>
    <mergeCell ref="C110:F110"/>
    <mergeCell ref="C112:F112"/>
    <mergeCell ref="C111:F111"/>
    <mergeCell ref="C177:F177"/>
    <mergeCell ref="C186:F186"/>
    <mergeCell ref="C172:F172"/>
    <mergeCell ref="C207:F207"/>
    <mergeCell ref="C201:F201"/>
    <mergeCell ref="C154:F154"/>
    <mergeCell ref="C157:F157"/>
    <mergeCell ref="C159:F159"/>
    <mergeCell ref="C161:F161"/>
    <mergeCell ref="C163:F163"/>
    <mergeCell ref="C171:F171"/>
    <mergeCell ref="C158:F158"/>
    <mergeCell ref="C176:F176"/>
    <mergeCell ref="C178:F178"/>
    <mergeCell ref="C179:F179"/>
    <mergeCell ref="C183:F183"/>
    <mergeCell ref="C184:F184"/>
    <mergeCell ref="C185:F185"/>
    <mergeCell ref="C181:F181"/>
    <mergeCell ref="C182:F182"/>
    <mergeCell ref="C180:F180"/>
    <mergeCell ref="C191:F191"/>
    <mergeCell ref="C192:F192"/>
    <mergeCell ref="C206:F206"/>
    <mergeCell ref="C885:F885"/>
    <mergeCell ref="C886:F886"/>
    <mergeCell ref="C887:F887"/>
    <mergeCell ref="C888:F888"/>
    <mergeCell ref="C893:F893"/>
    <mergeCell ref="C889:F889"/>
    <mergeCell ref="C891:F891"/>
    <mergeCell ref="C892:F892"/>
    <mergeCell ref="C187:F187"/>
    <mergeCell ref="C188:F188"/>
    <mergeCell ref="C202:F202"/>
    <mergeCell ref="C195:F195"/>
    <mergeCell ref="C189:F189"/>
    <mergeCell ref="C190:F190"/>
    <mergeCell ref="C194:F194"/>
    <mergeCell ref="C197:F197"/>
    <mergeCell ref="C198:F198"/>
    <mergeCell ref="C199:F199"/>
    <mergeCell ref="C200:F200"/>
    <mergeCell ref="C196:F196"/>
    <mergeCell ref="C193:F193"/>
    <mergeCell ref="C203:F203"/>
    <mergeCell ref="C204:F204"/>
    <mergeCell ref="C205:F205"/>
  </mergeCells>
  <printOptions horizontalCentered="1" verticalCentered="1"/>
  <pageMargins left="0.23622047244094491" right="0" top="0" bottom="0.43" header="0.31496062992125984" footer="0.23622047244094491"/>
  <pageSetup paperSize="9" scale="52" orientation="landscape" r:id="rId1"/>
  <headerFooter>
    <oddFooter>&amp;L&amp;14Contractor___________&amp;C&amp;14Consultant___________&amp;R&amp;14Client_______________</oddFooter>
  </headerFooter>
  <rowBreaks count="36" manualBreakCount="36">
    <brk id="50" min="1" max="15" man="1"/>
    <brk id="92" min="1" max="15" man="1"/>
    <brk id="115" min="1" max="15" man="1"/>
    <brk id="152" min="1" max="15" man="1"/>
    <brk id="182" min="1" max="15" man="1"/>
    <brk id="214" min="1" max="15" man="1"/>
    <brk id="252" min="1" max="15" man="1"/>
    <brk id="317" min="1" max="15" man="1"/>
    <brk id="362" min="1" max="15" man="1"/>
    <brk id="407" min="1" max="15" man="1"/>
    <brk id="459" min="1" max="15" man="1"/>
    <brk id="525" min="1" max="15" man="1"/>
    <brk id="573" min="1" max="15" man="1"/>
    <brk id="575" min="1" max="15" man="1"/>
    <brk id="590" min="1" max="15" man="1"/>
    <brk id="622" min="1" max="15" man="1"/>
    <brk id="636" min="1" max="15" man="1"/>
    <brk id="675" min="1" max="15" man="1"/>
    <brk id="716" min="1" max="15" man="1"/>
    <brk id="760" min="1" max="15" man="1"/>
    <brk id="802" min="1" max="15" man="1"/>
    <brk id="899" min="1" max="15" man="1"/>
    <brk id="955" min="1" max="15" man="1"/>
    <brk id="990" min="1" max="15" man="1"/>
    <brk id="1028" min="1" max="15" man="1"/>
    <brk id="1073" min="1" max="15" man="1"/>
    <brk id="1111" min="1" max="15" man="1"/>
    <brk id="1149" min="1" max="15" man="1"/>
    <brk id="1189" min="1" max="15" man="1"/>
    <brk id="1223" min="1" max="15" man="1"/>
    <brk id="1263" min="1" max="15" man="1"/>
    <brk id="1299" min="1" max="15" man="1"/>
    <brk id="1341" min="1" max="15" man="1"/>
    <brk id="1378" min="1" max="15" man="1"/>
    <brk id="1412" min="1" max="15" man="1"/>
    <brk id="1442" min="1" max="15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83"/>
  <sheetViews>
    <sheetView view="pageBreakPreview" topLeftCell="A47" zoomScale="85" zoomScaleSheetLayoutView="85" workbookViewId="0">
      <selection activeCell="M58" sqref="M58"/>
    </sheetView>
  </sheetViews>
  <sheetFormatPr defaultRowHeight="15"/>
  <cols>
    <col min="1" max="1" width="7.7109375" style="290" customWidth="1"/>
    <col min="2" max="5" width="9.140625" style="290"/>
    <col min="6" max="6" width="19.42578125" style="290" customWidth="1"/>
    <col min="7" max="7" width="5.5703125" style="290" customWidth="1"/>
    <col min="8" max="8" width="6.42578125" style="290" customWidth="1"/>
    <col min="9" max="9" width="4.140625" style="290" customWidth="1"/>
    <col min="10" max="10" width="21" style="290" customWidth="1"/>
    <col min="11" max="11" width="25.42578125" style="290" customWidth="1"/>
    <col min="12" max="14" width="14.28515625" style="290" bestFit="1" customWidth="1"/>
    <col min="15" max="15" width="18.140625" style="290" customWidth="1"/>
    <col min="16" max="16384" width="9.140625" style="290"/>
  </cols>
  <sheetData>
    <row r="1" spans="1:11">
      <c r="E1" s="291"/>
      <c r="F1" s="292" t="s">
        <v>165</v>
      </c>
      <c r="G1" s="292"/>
      <c r="H1" s="292"/>
    </row>
    <row r="2" spans="1:11">
      <c r="A2" s="293" t="s">
        <v>284</v>
      </c>
      <c r="B2" s="293"/>
      <c r="C2" s="293"/>
      <c r="D2" s="293"/>
      <c r="E2" s="293"/>
      <c r="F2" s="292"/>
    </row>
    <row r="3" spans="1:11">
      <c r="A3" s="293"/>
      <c r="B3" s="293"/>
      <c r="C3" s="293"/>
      <c r="D3" s="293"/>
      <c r="E3" s="293"/>
      <c r="F3" s="292"/>
    </row>
    <row r="4" spans="1:11" ht="22.5">
      <c r="A4" s="293" t="s">
        <v>709</v>
      </c>
      <c r="B4" s="293"/>
      <c r="C4" s="293"/>
      <c r="D4" s="293"/>
      <c r="E4" s="293"/>
      <c r="F4" s="292"/>
    </row>
    <row r="5" spans="1:11">
      <c r="A5" s="293"/>
      <c r="B5" s="293"/>
      <c r="C5" s="293"/>
      <c r="D5" s="293"/>
      <c r="E5" s="293"/>
      <c r="F5" s="292"/>
    </row>
    <row r="6" spans="1:11">
      <c r="A6" s="293" t="s">
        <v>707</v>
      </c>
      <c r="B6" s="293"/>
      <c r="C6" s="293"/>
      <c r="D6" s="293"/>
      <c r="E6" s="293"/>
      <c r="F6" s="292"/>
    </row>
    <row r="7" spans="1:11">
      <c r="A7" s="293"/>
      <c r="B7" s="293"/>
      <c r="C7" s="293"/>
      <c r="D7" s="293"/>
      <c r="E7" s="293"/>
      <c r="F7" s="292"/>
    </row>
    <row r="8" spans="1:11">
      <c r="A8" s="293" t="s">
        <v>708</v>
      </c>
      <c r="B8" s="293"/>
      <c r="C8" s="293"/>
      <c r="D8" s="293"/>
      <c r="E8" s="293"/>
      <c r="F8" s="292"/>
    </row>
    <row r="9" spans="1:11" ht="15.75" thickBot="1">
      <c r="D9" s="292" t="s">
        <v>166</v>
      </c>
      <c r="E9" s="292"/>
      <c r="F9" s="292"/>
      <c r="G9" s="292"/>
      <c r="H9" s="292"/>
      <c r="I9" s="292"/>
      <c r="J9" s="292"/>
      <c r="K9" s="292"/>
    </row>
    <row r="10" spans="1:11" ht="25.9" customHeight="1" thickTop="1" thickBot="1">
      <c r="A10" s="294" t="s">
        <v>158</v>
      </c>
      <c r="B10" s="1515" t="s">
        <v>159</v>
      </c>
      <c r="C10" s="1516"/>
      <c r="D10" s="1516"/>
      <c r="E10" s="1516"/>
      <c r="F10" s="1517"/>
      <c r="G10" s="295" t="s">
        <v>84</v>
      </c>
      <c r="H10" s="296"/>
      <c r="I10" s="296"/>
      <c r="J10" s="296" t="s">
        <v>743</v>
      </c>
      <c r="K10" s="297" t="s">
        <v>744</v>
      </c>
    </row>
    <row r="11" spans="1:11" ht="19.5" customHeight="1" thickTop="1">
      <c r="A11" s="298"/>
      <c r="B11" s="299" t="s">
        <v>85</v>
      </c>
      <c r="C11" s="300"/>
      <c r="D11" s="300"/>
      <c r="E11" s="301"/>
      <c r="F11" s="302"/>
      <c r="G11" s="303"/>
      <c r="H11" s="304"/>
      <c r="I11" s="304"/>
      <c r="J11" s="304"/>
      <c r="K11" s="813"/>
    </row>
    <row r="12" spans="1:11" ht="19.5" customHeight="1">
      <c r="A12" s="342">
        <v>1</v>
      </c>
      <c r="B12" s="343" t="s">
        <v>164</v>
      </c>
      <c r="C12" s="344"/>
      <c r="D12" s="344"/>
      <c r="E12" s="344"/>
      <c r="F12" s="345"/>
      <c r="G12" s="1518">
        <v>1388898.72</v>
      </c>
      <c r="H12" s="1519"/>
      <c r="I12" s="1519"/>
      <c r="J12" s="1519"/>
      <c r="K12" s="814">
        <f>SUMMARY!P49</f>
        <v>980558.42299999995</v>
      </c>
    </row>
    <row r="13" spans="1:11" ht="19.5" customHeight="1">
      <c r="A13" s="342">
        <v>2</v>
      </c>
      <c r="B13" s="343" t="s">
        <v>280</v>
      </c>
      <c r="C13" s="344"/>
      <c r="D13" s="344"/>
      <c r="E13" s="344"/>
      <c r="F13" s="345"/>
      <c r="G13" s="1096"/>
      <c r="H13" s="1519">
        <v>7934.86</v>
      </c>
      <c r="I13" s="1519"/>
      <c r="J13" s="1520"/>
      <c r="K13" s="814">
        <v>0</v>
      </c>
    </row>
    <row r="14" spans="1:11" ht="19.5" customHeight="1">
      <c r="A14" s="342">
        <v>3</v>
      </c>
      <c r="B14" s="343" t="s">
        <v>160</v>
      </c>
      <c r="C14" s="344"/>
      <c r="D14" s="344"/>
      <c r="E14" s="344"/>
      <c r="F14" s="345"/>
      <c r="G14" s="1518">
        <v>437745.45</v>
      </c>
      <c r="H14" s="1519"/>
      <c r="I14" s="1519"/>
      <c r="J14" s="1520"/>
      <c r="K14" s="814">
        <f>SUMMARY!P92</f>
        <v>596726.25030000007</v>
      </c>
    </row>
    <row r="15" spans="1:11" ht="19.5" customHeight="1">
      <c r="A15" s="342">
        <v>4</v>
      </c>
      <c r="B15" s="343" t="s">
        <v>161</v>
      </c>
      <c r="C15" s="344"/>
      <c r="D15" s="344"/>
      <c r="E15" s="344"/>
      <c r="F15" s="345"/>
      <c r="G15" s="1518">
        <v>80952.259999999995</v>
      </c>
      <c r="H15" s="1519"/>
      <c r="I15" s="1519"/>
      <c r="J15" s="1520"/>
      <c r="K15" s="814">
        <f>SUMMARY!P115</f>
        <v>73131.905760000009</v>
      </c>
    </row>
    <row r="16" spans="1:11" ht="19.5" customHeight="1">
      <c r="A16" s="342">
        <v>5</v>
      </c>
      <c r="B16" s="343" t="s">
        <v>281</v>
      </c>
      <c r="C16" s="344"/>
      <c r="D16" s="344"/>
      <c r="E16" s="344"/>
      <c r="F16" s="345"/>
      <c r="G16" s="346"/>
      <c r="H16" s="1519">
        <v>25005.200000000001</v>
      </c>
      <c r="I16" s="1519"/>
      <c r="J16" s="1520"/>
      <c r="K16" s="814">
        <v>0</v>
      </c>
    </row>
    <row r="17" spans="1:14" ht="19.5" customHeight="1">
      <c r="A17" s="342">
        <v>6</v>
      </c>
      <c r="B17" s="343" t="s">
        <v>162</v>
      </c>
      <c r="C17" s="344"/>
      <c r="D17" s="344"/>
      <c r="E17" s="347"/>
      <c r="F17" s="345"/>
      <c r="G17" s="1518">
        <v>1621233.07</v>
      </c>
      <c r="H17" s="1519"/>
      <c r="I17" s="1519"/>
      <c r="J17" s="1520"/>
      <c r="K17" s="817">
        <f>SUMMARY!P152</f>
        <v>1759855.4286631043</v>
      </c>
    </row>
    <row r="18" spans="1:14" ht="19.5" customHeight="1">
      <c r="A18" s="342">
        <v>7</v>
      </c>
      <c r="B18" s="343" t="s">
        <v>282</v>
      </c>
      <c r="C18" s="344"/>
      <c r="D18" s="344"/>
      <c r="E18" s="344"/>
      <c r="F18" s="345"/>
      <c r="G18" s="346"/>
      <c r="H18" s="1524">
        <v>579026.98</v>
      </c>
      <c r="I18" s="1524"/>
      <c r="J18" s="1525"/>
      <c r="K18" s="817">
        <f>SUMMARY!P182</f>
        <v>896941.56610000017</v>
      </c>
    </row>
    <row r="19" spans="1:14" ht="19.5" customHeight="1">
      <c r="A19" s="342">
        <v>8</v>
      </c>
      <c r="B19" s="343" t="s">
        <v>285</v>
      </c>
      <c r="C19" s="344"/>
      <c r="D19" s="344"/>
      <c r="E19" s="344"/>
      <c r="F19" s="345"/>
      <c r="G19" s="1518">
        <v>874446.91</v>
      </c>
      <c r="H19" s="1519"/>
      <c r="I19" s="1519"/>
      <c r="J19" s="1520"/>
      <c r="K19" s="814">
        <f>SUMMARY!P214</f>
        <v>982081.14385600004</v>
      </c>
    </row>
    <row r="20" spans="1:14" ht="19.5" customHeight="1">
      <c r="A20" s="342">
        <v>11</v>
      </c>
      <c r="B20" s="1507" t="s">
        <v>1408</v>
      </c>
      <c r="C20" s="1508"/>
      <c r="D20" s="1508"/>
      <c r="E20" s="1508"/>
      <c r="F20" s="1509"/>
      <c r="G20" s="346"/>
      <c r="H20" s="1519">
        <v>164205.35</v>
      </c>
      <c r="I20" s="1526"/>
      <c r="J20" s="1527"/>
      <c r="K20" s="814">
        <f>SUMMARY!P317</f>
        <v>130847.00223499999</v>
      </c>
    </row>
    <row r="21" spans="1:14" ht="19.5" customHeight="1">
      <c r="A21" s="342">
        <v>12</v>
      </c>
      <c r="B21" s="343" t="s">
        <v>279</v>
      </c>
      <c r="C21" s="344"/>
      <c r="D21" s="344"/>
      <c r="E21" s="344"/>
      <c r="F21" s="345"/>
      <c r="G21" s="346"/>
      <c r="H21" s="1519">
        <v>102490.05</v>
      </c>
      <c r="I21" s="1519"/>
      <c r="J21" s="1520"/>
      <c r="K21" s="814">
        <v>0</v>
      </c>
    </row>
    <row r="22" spans="1:14" ht="19.5" customHeight="1">
      <c r="A22" s="308"/>
      <c r="B22" s="309"/>
      <c r="C22" s="310"/>
      <c r="D22" s="348"/>
      <c r="E22" s="356" t="s">
        <v>163</v>
      </c>
      <c r="F22" s="357"/>
      <c r="G22" s="1528">
        <f>H21+H20+G19+H18+G17+H16+G15+G14+H13+G12</f>
        <v>5281938.8500000006</v>
      </c>
      <c r="H22" s="1529"/>
      <c r="I22" s="1529"/>
      <c r="J22" s="1530"/>
      <c r="K22" s="815">
        <f>K21+K20+K19+K18+K17+K16+K15+K14+K13+K12</f>
        <v>5420141.7199141048</v>
      </c>
    </row>
    <row r="23" spans="1:14" ht="19.5" customHeight="1">
      <c r="A23" s="350"/>
      <c r="B23" s="351" t="s">
        <v>134</v>
      </c>
      <c r="C23" s="352"/>
      <c r="D23" s="352"/>
      <c r="E23" s="352"/>
      <c r="F23" s="353"/>
      <c r="G23" s="354"/>
      <c r="H23" s="355"/>
      <c r="I23" s="355"/>
      <c r="J23" s="1103"/>
      <c r="K23" s="816"/>
    </row>
    <row r="24" spans="1:14" ht="19.5" customHeight="1">
      <c r="A24" s="342">
        <v>1</v>
      </c>
      <c r="B24" s="600" t="s">
        <v>164</v>
      </c>
      <c r="C24" s="601"/>
      <c r="D24" s="601"/>
      <c r="E24" s="601"/>
      <c r="F24" s="602"/>
      <c r="G24" s="1533">
        <v>1388898.76</v>
      </c>
      <c r="H24" s="1513"/>
      <c r="I24" s="1513"/>
      <c r="J24" s="1514"/>
      <c r="K24" s="814">
        <f>SUMMARY!P362</f>
        <v>3253339.9465000001</v>
      </c>
    </row>
    <row r="25" spans="1:14" ht="19.5" customHeight="1">
      <c r="A25" s="342">
        <v>9</v>
      </c>
      <c r="B25" s="1510" t="s">
        <v>157</v>
      </c>
      <c r="C25" s="1511"/>
      <c r="D25" s="1511"/>
      <c r="E25" s="1511"/>
      <c r="F25" s="1512"/>
      <c r="G25" s="1533">
        <v>1812160.27</v>
      </c>
      <c r="H25" s="1513"/>
      <c r="I25" s="1513"/>
      <c r="J25" s="1514"/>
      <c r="K25" s="817">
        <f>SUMMARY!P590</f>
        <v>3700843.3243399998</v>
      </c>
    </row>
    <row r="26" spans="1:14" ht="19.5" customHeight="1">
      <c r="A26" s="342">
        <v>10</v>
      </c>
      <c r="B26" s="1510" t="s">
        <v>849</v>
      </c>
      <c r="C26" s="1511"/>
      <c r="D26" s="1511"/>
      <c r="E26" s="1511"/>
      <c r="F26" s="1512"/>
      <c r="G26" s="1095"/>
      <c r="H26" s="1513">
        <v>174027.43</v>
      </c>
      <c r="I26" s="1513"/>
      <c r="J26" s="1514"/>
      <c r="K26" s="814">
        <f>SUMMARY!P622</f>
        <v>232568.3003</v>
      </c>
    </row>
    <row r="27" spans="1:14" s="455" customFormat="1" ht="19.5" customHeight="1">
      <c r="A27" s="533">
        <v>13</v>
      </c>
      <c r="B27" s="534" t="s">
        <v>283</v>
      </c>
      <c r="C27" s="535"/>
      <c r="D27" s="535"/>
      <c r="E27" s="535"/>
      <c r="F27" s="536"/>
      <c r="G27" s="537"/>
      <c r="H27" s="1531">
        <v>38477.760000000002</v>
      </c>
      <c r="I27" s="1531"/>
      <c r="J27" s="1532"/>
      <c r="K27" s="817">
        <f>[2]Dessie!$D$30</f>
        <v>25780.099200000004</v>
      </c>
    </row>
    <row r="28" spans="1:14" ht="19.5" customHeight="1">
      <c r="A28" s="342">
        <v>14</v>
      </c>
      <c r="B28" s="343" t="s">
        <v>276</v>
      </c>
      <c r="C28" s="344"/>
      <c r="D28" s="344"/>
      <c r="E28" s="344"/>
      <c r="F28" s="345"/>
      <c r="G28" s="1533">
        <v>309917.5</v>
      </c>
      <c r="H28" s="1513"/>
      <c r="I28" s="1513"/>
      <c r="J28" s="1514"/>
      <c r="K28" s="814">
        <f>SUMMARY!P636</f>
        <v>78720.460000000006</v>
      </c>
    </row>
    <row r="29" spans="1:14" ht="19.5" customHeight="1">
      <c r="A29" s="342">
        <v>15</v>
      </c>
      <c r="B29" s="343" t="s">
        <v>156</v>
      </c>
      <c r="C29" s="344"/>
      <c r="D29" s="344"/>
      <c r="E29" s="344"/>
      <c r="F29" s="345"/>
      <c r="G29" s="1533">
        <v>421794.31</v>
      </c>
      <c r="H29" s="1513"/>
      <c r="I29" s="1513"/>
      <c r="J29" s="1514"/>
      <c r="K29" s="817">
        <f>SUMMARY!P788</f>
        <v>421772.00129999995</v>
      </c>
    </row>
    <row r="30" spans="1:14" ht="19.5" customHeight="1">
      <c r="A30" s="342">
        <v>16</v>
      </c>
      <c r="B30" s="343" t="s">
        <v>272</v>
      </c>
      <c r="C30" s="344"/>
      <c r="D30" s="344"/>
      <c r="E30" s="344"/>
      <c r="F30" s="345"/>
      <c r="G30" s="1533">
        <v>3248593.2</v>
      </c>
      <c r="H30" s="1513"/>
      <c r="I30" s="1513"/>
      <c r="J30" s="1514"/>
      <c r="K30" s="814">
        <f>SUMMARY!P802</f>
        <v>5921935.9502711305</v>
      </c>
    </row>
    <row r="31" spans="1:14" ht="19.5" customHeight="1">
      <c r="A31" s="342">
        <v>17</v>
      </c>
      <c r="B31" s="343" t="s">
        <v>277</v>
      </c>
      <c r="C31" s="344"/>
      <c r="D31" s="344"/>
      <c r="E31" s="344"/>
      <c r="F31" s="345"/>
      <c r="G31" s="1095"/>
      <c r="H31" s="1513">
        <v>429478.41</v>
      </c>
      <c r="I31" s="1513"/>
      <c r="J31" s="1514"/>
      <c r="K31" s="814">
        <v>0</v>
      </c>
    </row>
    <row r="32" spans="1:14" ht="19.5" customHeight="1">
      <c r="A32" s="342">
        <v>18</v>
      </c>
      <c r="B32" s="343" t="s">
        <v>278</v>
      </c>
      <c r="C32" s="344"/>
      <c r="D32" s="344"/>
      <c r="E32" s="344"/>
      <c r="F32" s="345"/>
      <c r="G32" s="1095"/>
      <c r="H32" s="1513">
        <v>113716.52</v>
      </c>
      <c r="I32" s="1513"/>
      <c r="J32" s="1514"/>
      <c r="K32" s="814">
        <v>0</v>
      </c>
      <c r="N32" s="314"/>
    </row>
    <row r="33" spans="1:14" ht="19.5" customHeight="1">
      <c r="A33" s="308"/>
      <c r="B33" s="309"/>
      <c r="C33" s="310"/>
      <c r="D33" s="310"/>
      <c r="E33" s="356" t="s">
        <v>163</v>
      </c>
      <c r="F33" s="357"/>
      <c r="G33" s="1528">
        <f>H32+H31+G30+G29+G28+H27+H26+G25+G24</f>
        <v>7937064.1599999983</v>
      </c>
      <c r="H33" s="1529"/>
      <c r="I33" s="1529"/>
      <c r="J33" s="1530"/>
      <c r="K33" s="818">
        <f>K32+K31+K30+K29+K28+K27+K26+K25+K24</f>
        <v>13634960.08191113</v>
      </c>
    </row>
    <row r="34" spans="1:14" ht="19.5" customHeight="1">
      <c r="A34" s="308"/>
      <c r="B34" s="1559" t="s">
        <v>704</v>
      </c>
      <c r="C34" s="1560"/>
      <c r="D34" s="1560"/>
      <c r="E34" s="1560"/>
      <c r="F34" s="1561"/>
      <c r="G34" s="430"/>
      <c r="H34" s="431"/>
      <c r="I34" s="431"/>
      <c r="J34" s="1101"/>
      <c r="K34" s="818"/>
    </row>
    <row r="35" spans="1:14" ht="19.5" customHeight="1">
      <c r="A35" s="308"/>
      <c r="B35" s="1562" t="s">
        <v>705</v>
      </c>
      <c r="C35" s="1563"/>
      <c r="D35" s="1563"/>
      <c r="E35" s="1563"/>
      <c r="F35" s="1564"/>
      <c r="G35" s="340"/>
      <c r="H35" s="341"/>
      <c r="I35" s="341"/>
      <c r="J35" s="1102"/>
      <c r="K35" s="819"/>
    </row>
    <row r="36" spans="1:14" ht="19.5" customHeight="1">
      <c r="A36" s="305"/>
      <c r="B36" s="358" t="s">
        <v>509</v>
      </c>
      <c r="C36" s="348"/>
      <c r="D36" s="348"/>
      <c r="E36" s="348"/>
      <c r="F36" s="349"/>
      <c r="G36" s="340"/>
      <c r="H36" s="341"/>
      <c r="I36" s="341"/>
      <c r="J36" s="1102"/>
      <c r="K36" s="819"/>
    </row>
    <row r="37" spans="1:14" ht="19.5" customHeight="1">
      <c r="A37" s="305"/>
      <c r="B37" s="343" t="s">
        <v>677</v>
      </c>
      <c r="C37" s="344"/>
      <c r="D37" s="344"/>
      <c r="E37" s="344"/>
      <c r="F37" s="345"/>
      <c r="G37" s="1548">
        <v>119477.02</v>
      </c>
      <c r="H37" s="1549"/>
      <c r="I37" s="1549"/>
      <c r="J37" s="1550"/>
      <c r="K37" s="817">
        <f>SUMMARY!P1127</f>
        <v>168406.31989999997</v>
      </c>
    </row>
    <row r="38" spans="1:14" ht="19.5" customHeight="1">
      <c r="A38" s="305"/>
      <c r="B38" s="343" t="s">
        <v>678</v>
      </c>
      <c r="C38" s="344"/>
      <c r="D38" s="344"/>
      <c r="E38" s="344"/>
      <c r="F38" s="345"/>
      <c r="G38" s="1548">
        <v>530947.59</v>
      </c>
      <c r="H38" s="1549"/>
      <c r="I38" s="1549"/>
      <c r="J38" s="1550"/>
      <c r="K38" s="814">
        <f>SUMMARY!P1189</f>
        <v>605863.72103999997</v>
      </c>
    </row>
    <row r="39" spans="1:14" ht="19.5" customHeight="1">
      <c r="A39" s="305"/>
      <c r="B39" s="358" t="s">
        <v>430</v>
      </c>
      <c r="C39" s="348"/>
      <c r="D39" s="344"/>
      <c r="E39" s="344"/>
      <c r="F39" s="345"/>
      <c r="G39" s="359"/>
      <c r="H39" s="360"/>
      <c r="I39" s="360"/>
      <c r="J39" s="1100"/>
      <c r="K39" s="814"/>
      <c r="M39" s="314"/>
    </row>
    <row r="40" spans="1:14" ht="19.5" customHeight="1">
      <c r="A40" s="305"/>
      <c r="B40" s="343" t="s">
        <v>430</v>
      </c>
      <c r="C40" s="344"/>
      <c r="D40" s="344"/>
      <c r="E40" s="344"/>
      <c r="F40" s="345"/>
      <c r="G40" s="1548">
        <v>50037.35</v>
      </c>
      <c r="H40" s="1549"/>
      <c r="I40" s="1549"/>
      <c r="J40" s="1550"/>
      <c r="K40" s="817">
        <f>SUMMARY!P1378</f>
        <v>56598.489399999991</v>
      </c>
    </row>
    <row r="41" spans="1:14" ht="19.5" customHeight="1">
      <c r="A41" s="305"/>
      <c r="B41" s="306"/>
      <c r="C41" s="307"/>
      <c r="D41" s="307"/>
      <c r="E41" s="356"/>
      <c r="F41" s="361"/>
      <c r="G41" s="1528"/>
      <c r="H41" s="1529"/>
      <c r="I41" s="1529"/>
      <c r="J41" s="1530"/>
      <c r="K41" s="815"/>
    </row>
    <row r="42" spans="1:14" ht="19.5" customHeight="1">
      <c r="A42" s="342"/>
      <c r="B42" s="1562" t="s">
        <v>706</v>
      </c>
      <c r="C42" s="1563"/>
      <c r="D42" s="1563"/>
      <c r="E42" s="1563"/>
      <c r="F42" s="1564"/>
      <c r="G42" s="359"/>
      <c r="H42" s="360"/>
      <c r="I42" s="360"/>
      <c r="J42" s="1100"/>
      <c r="K42" s="814"/>
    </row>
    <row r="43" spans="1:14" ht="19.5" customHeight="1">
      <c r="A43" s="342">
        <v>1</v>
      </c>
      <c r="B43" s="1565" t="s">
        <v>508</v>
      </c>
      <c r="C43" s="1566"/>
      <c r="D43" s="1566"/>
      <c r="E43" s="1566"/>
      <c r="F43" s="1567"/>
      <c r="G43" s="359"/>
      <c r="H43" s="360"/>
      <c r="I43" s="360"/>
      <c r="J43" s="1100"/>
      <c r="K43" s="814"/>
    </row>
    <row r="44" spans="1:14" s="455" customFormat="1" ht="19.5" customHeight="1">
      <c r="A44" s="533"/>
      <c r="B44" s="534" t="s">
        <v>278</v>
      </c>
      <c r="C44" s="535"/>
      <c r="D44" s="535"/>
      <c r="E44" s="535"/>
      <c r="F44" s="536"/>
      <c r="G44" s="1553">
        <v>1768798.44</v>
      </c>
      <c r="H44" s="1554"/>
      <c r="I44" s="1554"/>
      <c r="J44" s="1555"/>
      <c r="K44" s="817">
        <f>SUMMARY!P1463</f>
        <v>1420167.2300000002</v>
      </c>
    </row>
    <row r="45" spans="1:14" ht="19.5" customHeight="1">
      <c r="A45" s="342">
        <v>2</v>
      </c>
      <c r="B45" s="1565" t="s">
        <v>277</v>
      </c>
      <c r="C45" s="1566"/>
      <c r="D45" s="1566"/>
      <c r="E45" s="1566"/>
      <c r="F45" s="1567"/>
      <c r="G45" s="359"/>
      <c r="H45" s="360"/>
      <c r="I45" s="360"/>
      <c r="J45" s="1100"/>
      <c r="K45" s="814"/>
    </row>
    <row r="46" spans="1:14" ht="19.5" customHeight="1">
      <c r="A46" s="342"/>
      <c r="B46" s="343" t="s">
        <v>286</v>
      </c>
      <c r="C46" s="344"/>
      <c r="D46" s="344"/>
      <c r="E46" s="344"/>
      <c r="F46" s="345"/>
      <c r="G46" s="1548">
        <v>855434.07</v>
      </c>
      <c r="H46" s="1549"/>
      <c r="I46" s="1549"/>
      <c r="J46" s="1550"/>
      <c r="K46" s="817">
        <f>SUMMARY!P1271</f>
        <v>1099671.2294999999</v>
      </c>
    </row>
    <row r="47" spans="1:14" ht="19.5" customHeight="1">
      <c r="A47" s="308"/>
      <c r="B47" s="309"/>
      <c r="C47" s="310"/>
      <c r="D47" s="310"/>
      <c r="E47" s="356"/>
      <c r="F47" s="357"/>
      <c r="G47" s="1539"/>
      <c r="H47" s="1551"/>
      <c r="I47" s="1551"/>
      <c r="J47" s="1552"/>
      <c r="K47" s="815"/>
      <c r="N47" s="314"/>
    </row>
    <row r="48" spans="1:14" ht="19.5" customHeight="1">
      <c r="A48" s="342">
        <v>3</v>
      </c>
      <c r="B48" s="1562" t="s">
        <v>1128</v>
      </c>
      <c r="C48" s="1563"/>
      <c r="D48" s="1563"/>
      <c r="E48" s="1563"/>
      <c r="F48" s="1564"/>
      <c r="G48" s="673"/>
      <c r="H48" s="674"/>
      <c r="I48" s="674"/>
      <c r="J48" s="1099"/>
      <c r="K48" s="820"/>
    </row>
    <row r="49" spans="1:15" ht="19.5" customHeight="1">
      <c r="A49" s="308"/>
      <c r="B49" s="677" t="s">
        <v>1129</v>
      </c>
      <c r="C49" s="678"/>
      <c r="D49" s="678"/>
      <c r="E49" s="678"/>
      <c r="F49" s="679"/>
      <c r="G49" s="1553">
        <v>7820272.5899999999</v>
      </c>
      <c r="H49" s="1554"/>
      <c r="I49" s="1554"/>
      <c r="J49" s="1555"/>
      <c r="K49" s="815">
        <f>SUMMARY!P839</f>
        <v>7059933.2572000008</v>
      </c>
    </row>
    <row r="50" spans="1:15" ht="19.5" customHeight="1">
      <c r="A50" s="308"/>
      <c r="B50" s="1160" t="s">
        <v>1265</v>
      </c>
      <c r="C50" s="1161"/>
      <c r="D50" s="1161"/>
      <c r="E50" s="1161"/>
      <c r="F50" s="1162"/>
      <c r="G50" s="1157"/>
      <c r="H50" s="1158"/>
      <c r="I50" s="815">
        <f>SUMMARY!N900</f>
        <v>0</v>
      </c>
      <c r="J50" s="1159">
        <f>SUMMARY!M852</f>
        <v>98091.12</v>
      </c>
      <c r="K50" s="815">
        <f>SUMMARY!P852</f>
        <v>214347.6</v>
      </c>
    </row>
    <row r="51" spans="1:15" ht="19.5" customHeight="1">
      <c r="A51" s="308"/>
      <c r="B51" s="1251" t="str">
        <f>'Variation order No.06'!A72</f>
        <v>Var. no.06</v>
      </c>
      <c r="C51" s="1237"/>
      <c r="D51" s="1237"/>
      <c r="E51" s="1237"/>
      <c r="F51" s="1238"/>
      <c r="G51" s="1239"/>
      <c r="H51" s="1240"/>
      <c r="I51" s="1250"/>
      <c r="J51" s="1241">
        <f>SUMMARY!M925</f>
        <v>214565.85935000001</v>
      </c>
      <c r="K51" s="815">
        <f>SUMMARY!O925</f>
        <v>171854.88310987497</v>
      </c>
    </row>
    <row r="52" spans="1:15" ht="19.5" customHeight="1">
      <c r="A52" s="308"/>
      <c r="B52" s="677"/>
      <c r="C52" s="678"/>
      <c r="D52" s="678"/>
      <c r="E52" s="678"/>
      <c r="F52" s="679"/>
      <c r="G52" s="675"/>
      <c r="H52" s="676"/>
      <c r="I52" s="676"/>
      <c r="J52" s="1098"/>
      <c r="K52" s="815"/>
    </row>
    <row r="53" spans="1:15" ht="18.75">
      <c r="A53" s="308"/>
      <c r="B53" s="309"/>
      <c r="C53" s="310"/>
      <c r="D53" s="310"/>
      <c r="E53" s="356" t="s">
        <v>163</v>
      </c>
      <c r="F53" s="311"/>
      <c r="G53" s="1528">
        <f>J51+J50+G49+G46+G44+G40+G38</f>
        <v>11338147.019349998</v>
      </c>
      <c r="H53" s="1534"/>
      <c r="I53" s="1534"/>
      <c r="J53" s="1535"/>
      <c r="K53" s="815">
        <f>K51+K50+K49+K46+K44+K40+K38+K37</f>
        <v>10796842.730149874</v>
      </c>
    </row>
    <row r="54" spans="1:15" ht="18.75">
      <c r="A54" s="308"/>
      <c r="B54" s="309"/>
      <c r="C54" s="310"/>
      <c r="D54" s="310"/>
      <c r="E54" s="356"/>
      <c r="F54" s="311"/>
      <c r="G54" s="312"/>
      <c r="H54" s="313"/>
      <c r="I54" s="313"/>
      <c r="J54" s="1097"/>
      <c r="K54" s="821"/>
      <c r="L54" s="314"/>
    </row>
    <row r="55" spans="1:15" ht="15.75">
      <c r="A55" s="308"/>
      <c r="B55" s="343" t="s">
        <v>287</v>
      </c>
      <c r="C55" s="344"/>
      <c r="D55" s="348"/>
      <c r="E55" s="348"/>
      <c r="F55" s="349"/>
      <c r="G55" s="1536"/>
      <c r="H55" s="1537"/>
      <c r="I55" s="1537"/>
      <c r="J55" s="1538"/>
      <c r="K55" s="814">
        <v>340278.05</v>
      </c>
    </row>
    <row r="56" spans="1:15" ht="15.75">
      <c r="A56" s="308" t="s">
        <v>1132</v>
      </c>
      <c r="B56" s="343" t="s">
        <v>288</v>
      </c>
      <c r="C56" s="344"/>
      <c r="D56" s="344"/>
      <c r="E56" s="348"/>
      <c r="F56" s="349"/>
      <c r="G56" s="1536"/>
      <c r="H56" s="1537"/>
      <c r="I56" s="1537"/>
      <c r="J56" s="1538"/>
      <c r="K56" s="814">
        <v>110054.25</v>
      </c>
    </row>
    <row r="57" spans="1:15" ht="15.75">
      <c r="A57" s="308" t="s">
        <v>1130</v>
      </c>
      <c r="B57" s="343" t="s">
        <v>1131</v>
      </c>
      <c r="C57" s="344"/>
      <c r="D57" s="344"/>
      <c r="E57" s="348"/>
      <c r="F57" s="349"/>
      <c r="G57" s="1556">
        <v>1349895.73</v>
      </c>
      <c r="H57" s="1557"/>
      <c r="I57" s="1557"/>
      <c r="J57" s="1558"/>
      <c r="K57" s="817">
        <f>SUMMARY!P1049</f>
        <v>841850.26</v>
      </c>
    </row>
    <row r="58" spans="1:15" ht="16.149999999999999" customHeight="1">
      <c r="A58" s="308"/>
      <c r="B58" s="343" t="s">
        <v>745</v>
      </c>
      <c r="C58" s="310"/>
      <c r="D58" s="310"/>
      <c r="E58" s="310"/>
      <c r="F58" s="311"/>
      <c r="G58" s="1539">
        <v>6265671.4199999999</v>
      </c>
      <c r="H58" s="1540"/>
      <c r="I58" s="1540"/>
      <c r="J58" s="1541"/>
      <c r="K58" s="822">
        <v>6265671.4199999999</v>
      </c>
      <c r="N58" s="314"/>
    </row>
    <row r="59" spans="1:15" ht="18.75">
      <c r="A59" s="308" t="s">
        <v>846</v>
      </c>
      <c r="B59" s="343" t="s">
        <v>847</v>
      </c>
      <c r="C59" s="310"/>
      <c r="D59" s="310"/>
      <c r="E59" s="310"/>
      <c r="F59" s="311"/>
      <c r="G59" s="1539">
        <v>104002.44</v>
      </c>
      <c r="H59" s="1551"/>
      <c r="I59" s="1551"/>
      <c r="J59" s="1552"/>
      <c r="K59" s="1168">
        <f>SUMMARY!P964</f>
        <v>104073.05660000001</v>
      </c>
    </row>
    <row r="60" spans="1:15" ht="18.75">
      <c r="A60" s="308" t="s">
        <v>840</v>
      </c>
      <c r="B60" s="343" t="s">
        <v>848</v>
      </c>
      <c r="C60" s="310"/>
      <c r="D60" s="310"/>
      <c r="E60" s="310"/>
      <c r="F60" s="311"/>
      <c r="G60" s="1539">
        <v>2756481.78</v>
      </c>
      <c r="H60" s="1551"/>
      <c r="I60" s="1551"/>
      <c r="J60" s="1552"/>
      <c r="K60" s="1168">
        <f>SUMMARY!P1028</f>
        <v>2068339.7608510002</v>
      </c>
    </row>
    <row r="61" spans="1:15" ht="15.75">
      <c r="A61" s="308"/>
      <c r="B61" s="343"/>
      <c r="C61" s="310"/>
      <c r="D61" s="310"/>
      <c r="E61" s="310"/>
      <c r="F61" s="311"/>
      <c r="G61" s="1542"/>
      <c r="H61" s="1543"/>
      <c r="I61" s="1543"/>
      <c r="J61" s="1544"/>
      <c r="K61" s="822"/>
    </row>
    <row r="62" spans="1:15" ht="18.75">
      <c r="A62" s="308"/>
      <c r="B62" s="309"/>
      <c r="C62" s="310"/>
      <c r="D62" s="310"/>
      <c r="E62" s="356" t="s">
        <v>163</v>
      </c>
      <c r="F62" s="357"/>
      <c r="G62" s="1528">
        <f>G60+G59+G58+G57</f>
        <v>10476051.370000001</v>
      </c>
      <c r="H62" s="1534"/>
      <c r="I62" s="1534"/>
      <c r="J62" s="1535"/>
      <c r="K62" s="815">
        <f>K60+K59+K58+K57+K56+K55</f>
        <v>9730266.7974510007</v>
      </c>
      <c r="L62" s="41"/>
      <c r="M62" s="41"/>
      <c r="N62" s="1287"/>
    </row>
    <row r="63" spans="1:15" ht="9" customHeight="1">
      <c r="A63" s="315"/>
      <c r="B63" s="316"/>
      <c r="C63" s="317"/>
      <c r="D63" s="317"/>
      <c r="E63" s="317"/>
      <c r="F63" s="318"/>
      <c r="G63" s="1521"/>
      <c r="H63" s="1522"/>
      <c r="I63" s="1522"/>
      <c r="J63" s="1523"/>
      <c r="K63" s="823"/>
      <c r="L63" s="41"/>
      <c r="M63" s="41"/>
      <c r="N63" s="41"/>
      <c r="O63" s="640"/>
    </row>
    <row r="64" spans="1:15" ht="24.75" customHeight="1" thickBot="1">
      <c r="A64" s="319"/>
      <c r="B64" s="320"/>
      <c r="C64" s="321"/>
      <c r="D64" s="362" t="s">
        <v>167</v>
      </c>
      <c r="E64" s="362"/>
      <c r="F64" s="363"/>
      <c r="G64" s="1545">
        <f>G62+G53+G33+G22</f>
        <v>35033201.399349995</v>
      </c>
      <c r="H64" s="1546"/>
      <c r="I64" s="1546"/>
      <c r="J64" s="1547"/>
      <c r="K64" s="824">
        <f>K62+K53+K33+K22</f>
        <v>39582211.32942611</v>
      </c>
      <c r="L64" s="639"/>
      <c r="M64" s="639"/>
      <c r="N64" s="639"/>
      <c r="O64" s="41"/>
    </row>
    <row r="65" spans="1:15" ht="15.75" thickTop="1">
      <c r="A65" s="292"/>
      <c r="B65" s="292"/>
      <c r="C65" s="292"/>
      <c r="D65" s="292"/>
      <c r="E65" s="292"/>
      <c r="F65" s="292"/>
      <c r="G65" s="205"/>
      <c r="H65" s="205"/>
      <c r="I65" s="205"/>
      <c r="J65" s="205"/>
      <c r="K65" s="205"/>
      <c r="L65" s="41"/>
      <c r="M65" s="41"/>
      <c r="N65" s="41"/>
      <c r="O65" s="41"/>
    </row>
    <row r="66" spans="1:1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 spans="1:15">
      <c r="A67" s="41" t="s">
        <v>168</v>
      </c>
      <c r="B67" s="41"/>
      <c r="C67" s="41"/>
      <c r="D67" s="41"/>
      <c r="E67" s="41" t="s">
        <v>692</v>
      </c>
      <c r="F67" s="41"/>
      <c r="G67" s="41"/>
      <c r="H67" s="41"/>
      <c r="I67" s="41" t="s">
        <v>693</v>
      </c>
      <c r="J67" s="41"/>
      <c r="K67" s="41"/>
      <c r="M67" s="41"/>
    </row>
    <row r="68" spans="1:1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M68" s="41"/>
    </row>
    <row r="69" spans="1:1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</row>
    <row r="70" spans="1:1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</row>
    <row r="72" spans="1:1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</row>
    <row r="73" spans="1:1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</row>
    <row r="74" spans="1:1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</row>
    <row r="75" spans="1:1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</row>
    <row r="76" spans="1:1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</row>
    <row r="77" spans="1:1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</row>
    <row r="78" spans="1:1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</row>
    <row r="79" spans="1:1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</row>
    <row r="80" spans="1:1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</row>
    <row r="81" spans="1:1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</row>
    <row r="82" spans="1:1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</row>
    <row r="83" spans="1:1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</row>
  </sheetData>
  <mergeCells count="50">
    <mergeCell ref="G57:J57"/>
    <mergeCell ref="B34:F34"/>
    <mergeCell ref="B42:F42"/>
    <mergeCell ref="B35:F35"/>
    <mergeCell ref="B48:F48"/>
    <mergeCell ref="G49:J49"/>
    <mergeCell ref="B43:F43"/>
    <mergeCell ref="B45:F45"/>
    <mergeCell ref="G40:J40"/>
    <mergeCell ref="G64:J64"/>
    <mergeCell ref="G22:J22"/>
    <mergeCell ref="G24:J24"/>
    <mergeCell ref="G25:J25"/>
    <mergeCell ref="H26:J26"/>
    <mergeCell ref="G28:J28"/>
    <mergeCell ref="G37:J37"/>
    <mergeCell ref="G46:J46"/>
    <mergeCell ref="G59:J59"/>
    <mergeCell ref="G60:J60"/>
    <mergeCell ref="G30:J30"/>
    <mergeCell ref="G47:J47"/>
    <mergeCell ref="G41:J41"/>
    <mergeCell ref="G44:J44"/>
    <mergeCell ref="G38:J38"/>
    <mergeCell ref="G62:J62"/>
    <mergeCell ref="G63:J63"/>
    <mergeCell ref="H21:J21"/>
    <mergeCell ref="G17:J17"/>
    <mergeCell ref="G19:J19"/>
    <mergeCell ref="H16:J16"/>
    <mergeCell ref="H18:J18"/>
    <mergeCell ref="H20:J20"/>
    <mergeCell ref="G33:J33"/>
    <mergeCell ref="H27:J27"/>
    <mergeCell ref="G29:J29"/>
    <mergeCell ref="G53:J53"/>
    <mergeCell ref="G55:J55"/>
    <mergeCell ref="G56:J56"/>
    <mergeCell ref="G58:J58"/>
    <mergeCell ref="G61:J61"/>
    <mergeCell ref="H32:J32"/>
    <mergeCell ref="B20:F20"/>
    <mergeCell ref="B26:F26"/>
    <mergeCell ref="B25:F25"/>
    <mergeCell ref="H31:J31"/>
    <mergeCell ref="B10:F10"/>
    <mergeCell ref="G12:J12"/>
    <mergeCell ref="G14:J14"/>
    <mergeCell ref="H13:J13"/>
    <mergeCell ref="G15:J15"/>
  </mergeCells>
  <printOptions horizontalCentered="1" verticalCentered="1"/>
  <pageMargins left="0.28000000000000003" right="0" top="0" bottom="0" header="0.3" footer="0.3"/>
  <pageSetup paperSize="9" scale="6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06"/>
  <sheetViews>
    <sheetView view="pageBreakPreview" topLeftCell="A94" zoomScaleSheetLayoutView="100" workbookViewId="0">
      <selection activeCell="D67" sqref="D67"/>
    </sheetView>
  </sheetViews>
  <sheetFormatPr defaultRowHeight="15"/>
  <cols>
    <col min="7" max="7" width="9.42578125" customWidth="1"/>
    <col min="8" max="8" width="0.85546875" hidden="1" customWidth="1"/>
    <col min="11" max="11" width="9.140625" style="1132"/>
    <col min="16" max="16" width="9.140625" style="1132"/>
  </cols>
  <sheetData>
    <row r="1" spans="1:10">
      <c r="A1" s="1578" t="s">
        <v>0</v>
      </c>
      <c r="B1" s="1579"/>
      <c r="C1" s="1580" t="s">
        <v>4</v>
      </c>
      <c r="D1" s="1581"/>
      <c r="E1" s="1582"/>
      <c r="F1" s="200" t="s">
        <v>7</v>
      </c>
      <c r="G1" s="202" t="s">
        <v>8</v>
      </c>
      <c r="H1" s="201"/>
      <c r="I1" s="202" t="s">
        <v>61</v>
      </c>
      <c r="J1" s="201"/>
    </row>
    <row r="2" spans="1:10">
      <c r="A2" s="459" t="s">
        <v>552</v>
      </c>
      <c r="B2" s="169"/>
      <c r="C2" s="1583"/>
      <c r="D2" s="1584"/>
      <c r="E2" s="1585"/>
      <c r="F2" s="1070">
        <v>18</v>
      </c>
      <c r="G2" s="1586"/>
      <c r="H2" s="1587"/>
      <c r="J2" s="479">
        <v>1</v>
      </c>
    </row>
    <row r="3" spans="1:10">
      <c r="A3" s="170" t="s">
        <v>2</v>
      </c>
      <c r="B3" s="171"/>
      <c r="C3" s="167" t="s">
        <v>5</v>
      </c>
      <c r="D3" s="172"/>
      <c r="E3" s="166"/>
      <c r="F3" s="165" t="s">
        <v>9</v>
      </c>
      <c r="G3" s="172"/>
      <c r="H3" s="172"/>
      <c r="I3" s="172"/>
      <c r="J3" s="166"/>
    </row>
    <row r="4" spans="1:10">
      <c r="A4" s="169" t="s">
        <v>490</v>
      </c>
      <c r="B4" s="173"/>
      <c r="C4" s="174"/>
      <c r="D4" s="456">
        <v>2</v>
      </c>
      <c r="E4" s="175"/>
      <c r="F4" s="176" t="s">
        <v>927</v>
      </c>
      <c r="G4" s="643"/>
      <c r="H4" s="177"/>
      <c r="I4" s="177"/>
      <c r="J4" s="175"/>
    </row>
    <row r="5" spans="1:10">
      <c r="A5" s="170" t="s">
        <v>491</v>
      </c>
      <c r="B5" s="282"/>
      <c r="C5" s="165" t="s">
        <v>6</v>
      </c>
      <c r="D5" s="1588" t="s">
        <v>1186</v>
      </c>
      <c r="E5" s="1589"/>
      <c r="F5" s="165" t="s">
        <v>10</v>
      </c>
      <c r="G5" s="1588"/>
      <c r="H5" s="1588"/>
      <c r="I5" s="172"/>
      <c r="J5" s="166"/>
    </row>
    <row r="6" spans="1:10">
      <c r="A6" s="169" t="s">
        <v>926</v>
      </c>
      <c r="B6" s="173"/>
      <c r="C6" s="174"/>
      <c r="D6" s="177"/>
      <c r="E6" s="175"/>
      <c r="F6" s="178"/>
      <c r="G6" s="177"/>
      <c r="H6" s="177"/>
      <c r="I6" s="177"/>
      <c r="J6" s="175"/>
    </row>
    <row r="7" spans="1:10">
      <c r="A7" s="179"/>
      <c r="B7" s="180"/>
      <c r="C7" s="180"/>
      <c r="D7" s="180"/>
      <c r="E7" s="180"/>
      <c r="F7" s="180"/>
      <c r="G7" s="180"/>
      <c r="H7" s="180"/>
      <c r="I7" s="180"/>
      <c r="J7" s="181"/>
    </row>
    <row r="8" spans="1:10">
      <c r="A8" s="182" t="s">
        <v>11</v>
      </c>
      <c r="B8" s="183"/>
      <c r="C8" s="172"/>
      <c r="D8" s="172"/>
      <c r="E8" s="166"/>
      <c r="F8" s="184" t="s">
        <v>12</v>
      </c>
      <c r="G8" s="184" t="s">
        <v>13</v>
      </c>
      <c r="H8" s="166"/>
      <c r="I8" s="1071" t="s">
        <v>14</v>
      </c>
      <c r="J8" s="166" t="s">
        <v>1189</v>
      </c>
    </row>
    <row r="9" spans="1:10" ht="18.75">
      <c r="A9" s="680" t="s">
        <v>926</v>
      </c>
      <c r="B9" s="647" t="s">
        <v>923</v>
      </c>
      <c r="C9" s="180"/>
      <c r="D9" s="180"/>
      <c r="E9" s="181"/>
      <c r="F9" s="179"/>
      <c r="G9" s="179"/>
      <c r="H9" s="181"/>
      <c r="I9" s="1072"/>
      <c r="J9" s="181"/>
    </row>
    <row r="10" spans="1:10" ht="15.75">
      <c r="A10" s="645"/>
      <c r="B10" s="510"/>
      <c r="C10" s="510"/>
      <c r="D10" s="510"/>
      <c r="E10" s="181"/>
      <c r="F10" s="179"/>
      <c r="G10" s="179"/>
      <c r="H10" s="181"/>
      <c r="I10" s="1072"/>
      <c r="J10" s="181"/>
    </row>
    <row r="11" spans="1:10" ht="15.75">
      <c r="A11" s="652"/>
      <c r="B11" s="651"/>
      <c r="C11" s="180"/>
      <c r="D11" s="180"/>
      <c r="E11" s="181"/>
      <c r="F11" s="179"/>
      <c r="G11" s="179"/>
      <c r="H11" s="181"/>
      <c r="I11" s="1072"/>
      <c r="J11" s="181"/>
    </row>
    <row r="12" spans="1:10" ht="15.75">
      <c r="A12" s="516"/>
      <c r="B12" s="186"/>
      <c r="C12" s="180"/>
      <c r="D12" s="180"/>
      <c r="E12" s="181"/>
      <c r="F12" s="179"/>
      <c r="G12" s="179"/>
      <c r="H12" s="181"/>
      <c r="I12" s="1072"/>
      <c r="J12" s="181"/>
    </row>
    <row r="13" spans="1:10">
      <c r="A13" s="648"/>
      <c r="B13" s="186" t="s">
        <v>928</v>
      </c>
      <c r="C13" s="180"/>
      <c r="D13" s="180"/>
      <c r="E13" s="181"/>
      <c r="F13" s="179"/>
      <c r="G13" s="179"/>
      <c r="H13" s="181"/>
      <c r="I13" s="1075"/>
      <c r="J13" s="181"/>
    </row>
    <row r="14" spans="1:10">
      <c r="A14" s="212"/>
      <c r="B14" s="198" t="s">
        <v>930</v>
      </c>
      <c r="C14" s="198"/>
      <c r="D14" s="198"/>
      <c r="E14" s="181"/>
      <c r="F14" s="179"/>
      <c r="G14" s="179"/>
      <c r="H14" s="180"/>
      <c r="I14" s="1072"/>
      <c r="J14" s="181"/>
    </row>
    <row r="15" spans="1:10">
      <c r="A15" s="648"/>
      <c r="B15" s="180"/>
      <c r="C15" s="198"/>
      <c r="D15" s="198"/>
      <c r="E15" s="181"/>
      <c r="F15" s="179"/>
      <c r="G15" s="179"/>
      <c r="H15" s="181"/>
      <c r="I15" s="1075"/>
      <c r="J15" s="181"/>
    </row>
    <row r="16" spans="1:10" ht="15.75" thickBot="1">
      <c r="A16" s="185"/>
      <c r="B16" s="180"/>
      <c r="C16" s="180" t="s">
        <v>924</v>
      </c>
      <c r="D16" s="198"/>
      <c r="E16" s="181"/>
      <c r="F16" s="179">
        <v>1</v>
      </c>
      <c r="G16" s="179">
        <v>0</v>
      </c>
      <c r="H16" s="181"/>
      <c r="I16" s="1073">
        <f>G16</f>
        <v>0</v>
      </c>
      <c r="J16" s="181"/>
    </row>
    <row r="17" spans="1:10" ht="15.75" thickTop="1">
      <c r="A17" s="212"/>
      <c r="B17" s="180"/>
      <c r="C17" s="198"/>
      <c r="D17" s="198"/>
      <c r="E17" s="181"/>
      <c r="F17" s="179"/>
      <c r="G17" s="179"/>
      <c r="H17" s="181"/>
      <c r="I17" s="1075"/>
      <c r="J17" s="181"/>
    </row>
    <row r="18" spans="1:10" ht="15.75" thickBot="1">
      <c r="A18" s="185"/>
      <c r="B18" s="196"/>
      <c r="C18" s="180" t="s">
        <v>1119</v>
      </c>
      <c r="D18" s="198"/>
      <c r="E18" s="181"/>
      <c r="F18" s="179">
        <v>1</v>
      </c>
      <c r="G18" s="179">
        <v>0</v>
      </c>
      <c r="H18" s="181"/>
      <c r="I18" s="1073">
        <f>G18</f>
        <v>0</v>
      </c>
      <c r="J18" s="181"/>
    </row>
    <row r="19" spans="1:10" ht="15.75" thickTop="1">
      <c r="A19" s="185"/>
      <c r="B19" s="180"/>
      <c r="C19" s="180"/>
      <c r="D19" s="180"/>
      <c r="E19" s="181"/>
      <c r="F19" s="179"/>
      <c r="G19" s="179"/>
      <c r="H19" s="181"/>
      <c r="I19" s="1075"/>
      <c r="J19" s="181"/>
    </row>
    <row r="20" spans="1:10">
      <c r="A20" s="197"/>
      <c r="B20" s="186" t="s">
        <v>929</v>
      </c>
      <c r="C20" s="198"/>
      <c r="D20" s="198"/>
      <c r="E20" s="181"/>
      <c r="F20" s="179"/>
      <c r="G20" s="179"/>
      <c r="H20" s="181"/>
      <c r="I20" s="1075"/>
      <c r="J20" s="181"/>
    </row>
    <row r="21" spans="1:10">
      <c r="A21" s="197"/>
      <c r="B21" s="180"/>
      <c r="C21" s="198"/>
      <c r="D21" s="198"/>
      <c r="E21" s="181"/>
      <c r="F21" s="179"/>
      <c r="G21" s="179"/>
      <c r="H21" s="181"/>
      <c r="I21" s="1075"/>
      <c r="J21" s="181"/>
    </row>
    <row r="22" spans="1:10" ht="15.75" thickBot="1">
      <c r="A22" s="197"/>
      <c r="B22" s="180" t="s">
        <v>925</v>
      </c>
      <c r="D22" s="198"/>
      <c r="E22" s="181"/>
      <c r="F22" s="179">
        <v>1</v>
      </c>
      <c r="G22" s="179">
        <v>8</v>
      </c>
      <c r="H22" s="181"/>
      <c r="I22" s="1073">
        <f>G22</f>
        <v>8</v>
      </c>
      <c r="J22" s="181" t="s">
        <v>1071</v>
      </c>
    </row>
    <row r="23" spans="1:10" ht="15.75" thickTop="1">
      <c r="A23" s="648" t="s">
        <v>1188</v>
      </c>
      <c r="B23" s="180"/>
      <c r="C23" s="198"/>
      <c r="D23" s="198"/>
      <c r="E23" s="181"/>
      <c r="F23" s="179"/>
      <c r="G23" s="179"/>
      <c r="H23" s="181"/>
      <c r="I23" s="1075"/>
      <c r="J23" s="181"/>
    </row>
    <row r="24" spans="1:10">
      <c r="A24" s="1570"/>
      <c r="B24" s="1571"/>
      <c r="C24" s="1571"/>
      <c r="D24" s="1571"/>
      <c r="E24" s="1572"/>
      <c r="F24" s="179"/>
      <c r="G24" s="179"/>
      <c r="H24" s="181"/>
      <c r="I24" s="1072"/>
      <c r="J24" s="181"/>
    </row>
    <row r="25" spans="1:10">
      <c r="A25" s="1573"/>
      <c r="B25" s="1574"/>
      <c r="C25" s="1574"/>
      <c r="D25" s="1574"/>
      <c r="E25" s="1575"/>
      <c r="F25" s="179"/>
      <c r="G25" s="179"/>
      <c r="H25" s="181"/>
      <c r="I25" s="1072"/>
      <c r="J25" s="181"/>
    </row>
    <row r="26" spans="1:10">
      <c r="A26" s="212"/>
      <c r="B26" s="541"/>
      <c r="C26" s="180"/>
      <c r="D26" s="541"/>
      <c r="E26" s="181"/>
      <c r="F26" s="179"/>
      <c r="G26" s="179"/>
      <c r="H26" s="181"/>
      <c r="I26" s="1072"/>
      <c r="J26" s="181"/>
    </row>
    <row r="27" spans="1:10">
      <c r="A27" s="214"/>
      <c r="B27" s="186"/>
      <c r="C27" s="180"/>
      <c r="D27" s="180"/>
      <c r="E27" s="181"/>
      <c r="F27" s="179"/>
      <c r="G27" s="179"/>
      <c r="H27" s="181"/>
      <c r="I27" s="1072"/>
      <c r="J27" s="181"/>
    </row>
    <row r="28" spans="1:10">
      <c r="A28" s="185"/>
      <c r="B28" s="186"/>
      <c r="C28" s="180"/>
      <c r="D28" s="180"/>
      <c r="E28" s="181"/>
      <c r="F28" s="179"/>
      <c r="G28" s="179"/>
      <c r="H28" s="181"/>
      <c r="I28" s="1072"/>
      <c r="J28" s="181"/>
    </row>
    <row r="29" spans="1:10">
      <c r="A29" s="212"/>
      <c r="B29" s="541"/>
      <c r="C29" s="180"/>
      <c r="D29" s="180"/>
      <c r="E29" s="181"/>
      <c r="F29" s="179"/>
      <c r="G29" s="179"/>
      <c r="H29" s="181"/>
      <c r="I29" s="1075"/>
      <c r="J29" s="181"/>
    </row>
    <row r="30" spans="1:10">
      <c r="A30" s="197"/>
      <c r="B30" s="198"/>
      <c r="C30" s="198"/>
      <c r="D30" s="198"/>
      <c r="E30" s="181"/>
      <c r="F30" s="179"/>
      <c r="G30" s="179"/>
      <c r="H30" s="180"/>
      <c r="I30" s="1072"/>
      <c r="J30" s="181"/>
    </row>
    <row r="31" spans="1:10" ht="15.75">
      <c r="A31" s="197"/>
      <c r="B31" s="646"/>
      <c r="C31" s="198"/>
      <c r="D31" s="198"/>
      <c r="E31" s="181"/>
      <c r="F31" s="179"/>
      <c r="G31" s="179"/>
      <c r="H31" s="181"/>
      <c r="I31" s="1072"/>
      <c r="J31" s="181"/>
    </row>
    <row r="32" spans="1:10">
      <c r="A32" s="197"/>
      <c r="B32" s="198"/>
      <c r="C32" s="198"/>
      <c r="D32" s="198"/>
      <c r="E32" s="181"/>
      <c r="F32" s="179"/>
      <c r="G32" s="179"/>
      <c r="H32" s="181"/>
      <c r="I32" s="1075"/>
      <c r="J32" s="181"/>
    </row>
    <row r="33" spans="1:10">
      <c r="A33" s="197"/>
      <c r="B33" s="198"/>
      <c r="C33" s="198"/>
      <c r="D33" s="198"/>
      <c r="E33" s="181"/>
      <c r="F33" s="179"/>
      <c r="G33" s="179"/>
      <c r="H33" s="180"/>
      <c r="I33" s="1072"/>
      <c r="J33" s="181"/>
    </row>
    <row r="34" spans="1:10">
      <c r="A34" s="197"/>
      <c r="B34" s="198"/>
      <c r="C34" s="198"/>
      <c r="D34" s="198"/>
      <c r="E34" s="181"/>
      <c r="F34" s="179"/>
      <c r="G34" s="179"/>
      <c r="H34" s="180"/>
      <c r="I34" s="1072"/>
      <c r="J34" s="181"/>
    </row>
    <row r="35" spans="1:10">
      <c r="A35" s="197"/>
      <c r="B35" s="198"/>
      <c r="C35" s="198"/>
      <c r="D35" s="198"/>
      <c r="E35" s="181"/>
      <c r="F35" s="179"/>
      <c r="G35" s="179"/>
      <c r="H35" s="180"/>
      <c r="I35" s="1072"/>
      <c r="J35" s="181"/>
    </row>
    <row r="36" spans="1:10">
      <c r="A36" s="197"/>
      <c r="B36" s="198"/>
      <c r="C36" s="198"/>
      <c r="D36" s="198"/>
      <c r="E36" s="181"/>
      <c r="F36" s="179"/>
      <c r="G36" s="179"/>
      <c r="H36" s="180"/>
      <c r="I36" s="1072"/>
      <c r="J36" s="181"/>
    </row>
    <row r="37" spans="1:10">
      <c r="A37" s="197"/>
      <c r="B37" s="198"/>
      <c r="C37" s="198"/>
      <c r="D37" s="198"/>
      <c r="E37" s="181"/>
      <c r="F37" s="179"/>
      <c r="G37" s="179"/>
      <c r="H37" s="180"/>
      <c r="I37" s="1072"/>
      <c r="J37" s="181"/>
    </row>
    <row r="38" spans="1:10">
      <c r="A38" s="197"/>
      <c r="B38" s="198"/>
      <c r="C38" s="198"/>
      <c r="D38" s="198"/>
      <c r="E38" s="181"/>
      <c r="F38" s="179"/>
      <c r="G38" s="179"/>
      <c r="H38" s="180"/>
      <c r="I38" s="1072"/>
      <c r="J38" s="181"/>
    </row>
    <row r="39" spans="1:10">
      <c r="A39" s="197"/>
      <c r="B39" s="198"/>
      <c r="C39" s="198"/>
      <c r="D39" s="198"/>
      <c r="E39" s="181"/>
      <c r="F39" s="179"/>
      <c r="G39" s="179"/>
      <c r="H39" s="180"/>
      <c r="I39" s="1072"/>
      <c r="J39" s="181"/>
    </row>
    <row r="40" spans="1:10">
      <c r="A40" s="197"/>
      <c r="B40" s="198"/>
      <c r="C40" s="198"/>
      <c r="D40" s="198"/>
      <c r="E40" s="181"/>
      <c r="F40" s="179"/>
      <c r="G40" s="179"/>
      <c r="H40" s="180"/>
      <c r="I40" s="1072"/>
      <c r="J40" s="181"/>
    </row>
    <row r="41" spans="1:10">
      <c r="A41" s="197"/>
      <c r="B41" s="198"/>
      <c r="C41" s="198"/>
      <c r="D41" s="198"/>
      <c r="E41" s="181"/>
      <c r="F41" s="179"/>
      <c r="G41" s="179"/>
      <c r="H41" s="180"/>
      <c r="I41" s="1072"/>
      <c r="J41" s="181"/>
    </row>
    <row r="42" spans="1:10">
      <c r="A42" s="197"/>
      <c r="B42" s="198"/>
      <c r="C42" s="198"/>
      <c r="D42" s="198"/>
      <c r="E42" s="181"/>
      <c r="F42" s="179"/>
      <c r="G42" s="179"/>
      <c r="H42" s="180"/>
      <c r="I42" s="1072"/>
      <c r="J42" s="181"/>
    </row>
    <row r="43" spans="1:10">
      <c r="A43" s="197"/>
      <c r="B43" s="198"/>
      <c r="C43" s="198"/>
      <c r="D43" s="198"/>
      <c r="E43" s="181"/>
      <c r="F43" s="179"/>
      <c r="G43" s="179"/>
      <c r="H43" s="180"/>
      <c r="I43" s="1072"/>
      <c r="J43" s="181"/>
    </row>
    <row r="44" spans="1:10">
      <c r="A44" s="197"/>
      <c r="B44" s="198"/>
      <c r="C44" s="198"/>
      <c r="D44" s="198"/>
      <c r="E44" s="181"/>
      <c r="F44" s="179"/>
      <c r="G44" s="179"/>
      <c r="H44" s="180"/>
      <c r="I44" s="1072"/>
      <c r="J44" s="181"/>
    </row>
    <row r="45" spans="1:10">
      <c r="A45" s="197"/>
      <c r="B45" s="198"/>
      <c r="C45" s="198"/>
      <c r="D45" s="198"/>
      <c r="E45" s="181"/>
      <c r="F45" s="179"/>
      <c r="G45" s="179"/>
      <c r="H45" s="180"/>
      <c r="I45" s="1072"/>
      <c r="J45" s="181"/>
    </row>
    <row r="46" spans="1:10">
      <c r="A46" s="179"/>
      <c r="B46" s="180"/>
      <c r="C46" s="180"/>
      <c r="D46" s="180"/>
      <c r="E46" s="180"/>
      <c r="F46" s="174"/>
      <c r="G46" s="174"/>
      <c r="H46" s="180"/>
      <c r="I46" s="1080"/>
      <c r="J46" s="181"/>
    </row>
    <row r="47" spans="1:10">
      <c r="A47" s="188"/>
      <c r="B47" s="29"/>
      <c r="C47" s="1576" t="s">
        <v>10</v>
      </c>
      <c r="D47" s="1577"/>
      <c r="E47" s="189" t="s">
        <v>18</v>
      </c>
      <c r="F47" s="190" t="s">
        <v>19</v>
      </c>
      <c r="G47" s="191"/>
      <c r="H47" s="191"/>
      <c r="I47" s="191"/>
      <c r="J47" s="192"/>
    </row>
    <row r="48" spans="1:10">
      <c r="A48" s="193" t="s">
        <v>15</v>
      </c>
      <c r="B48" s="188"/>
      <c r="C48" s="1568"/>
      <c r="D48" s="1569"/>
      <c r="E48" s="191"/>
      <c r="F48" s="191"/>
      <c r="G48" s="191"/>
      <c r="H48" s="191"/>
      <c r="I48" s="191"/>
      <c r="J48" s="192"/>
    </row>
    <row r="49" spans="1:10">
      <c r="A49" s="193" t="s">
        <v>16</v>
      </c>
      <c r="B49" s="188"/>
      <c r="C49" s="1568"/>
      <c r="D49" s="1569"/>
      <c r="E49" s="191"/>
      <c r="F49" s="191"/>
      <c r="G49" s="191"/>
      <c r="H49" s="191"/>
      <c r="I49" s="191"/>
      <c r="J49" s="192"/>
    </row>
    <row r="50" spans="1:10">
      <c r="A50" s="193" t="s">
        <v>553</v>
      </c>
      <c r="B50" s="188"/>
      <c r="C50" s="1568"/>
      <c r="D50" s="1569"/>
      <c r="E50" s="191"/>
      <c r="F50" s="191"/>
      <c r="G50" s="191"/>
      <c r="H50" s="191"/>
      <c r="I50" s="191"/>
      <c r="J50" s="192"/>
    </row>
    <row r="51" spans="1:10">
      <c r="A51" s="186"/>
      <c r="B51" s="180"/>
      <c r="C51" s="1119"/>
      <c r="D51" s="1119"/>
      <c r="E51" s="180"/>
      <c r="F51" s="180"/>
      <c r="G51" s="180"/>
      <c r="H51" s="180"/>
      <c r="I51" s="180"/>
      <c r="J51" s="180"/>
    </row>
    <row r="52" spans="1:10">
      <c r="A52" s="186"/>
      <c r="B52" s="180"/>
      <c r="C52" s="1119"/>
      <c r="D52" s="1119"/>
      <c r="E52" s="180"/>
      <c r="F52" s="180"/>
      <c r="G52" s="180"/>
      <c r="H52" s="180"/>
      <c r="I52" s="180"/>
      <c r="J52" s="180"/>
    </row>
    <row r="53" spans="1:10">
      <c r="A53" s="186"/>
      <c r="B53" s="180"/>
      <c r="C53" s="1119"/>
      <c r="D53" s="1119"/>
      <c r="E53" s="180"/>
      <c r="F53" s="180"/>
      <c r="G53" s="180"/>
      <c r="H53" s="180"/>
      <c r="I53" s="180"/>
      <c r="J53" s="180"/>
    </row>
    <row r="55" spans="1:10">
      <c r="A55" s="1578" t="s">
        <v>0</v>
      </c>
      <c r="B55" s="1579"/>
      <c r="C55" s="1580" t="s">
        <v>4</v>
      </c>
      <c r="D55" s="1581"/>
      <c r="E55" s="1582"/>
      <c r="F55" s="200" t="s">
        <v>7</v>
      </c>
      <c r="G55" s="202" t="s">
        <v>8</v>
      </c>
      <c r="H55" s="201"/>
      <c r="I55" s="202" t="s">
        <v>61</v>
      </c>
      <c r="J55" s="201"/>
    </row>
    <row r="56" spans="1:10">
      <c r="A56" s="459" t="s">
        <v>552</v>
      </c>
      <c r="B56" s="169"/>
      <c r="C56" s="1583"/>
      <c r="D56" s="1584"/>
      <c r="E56" s="1585"/>
      <c r="F56" s="1121">
        <v>19</v>
      </c>
      <c r="G56" s="1586"/>
      <c r="H56" s="1587"/>
      <c r="J56" s="479">
        <v>1</v>
      </c>
    </row>
    <row r="57" spans="1:10">
      <c r="A57" s="170" t="s">
        <v>2</v>
      </c>
      <c r="B57" s="171"/>
      <c r="C57" s="167" t="s">
        <v>5</v>
      </c>
      <c r="D57" s="172"/>
      <c r="E57" s="166"/>
      <c r="F57" s="165" t="s">
        <v>9</v>
      </c>
      <c r="G57" s="172"/>
      <c r="H57" s="172"/>
      <c r="I57" s="172"/>
      <c r="J57" s="166"/>
    </row>
    <row r="58" spans="1:10">
      <c r="A58" s="169" t="s">
        <v>490</v>
      </c>
      <c r="B58" s="173"/>
      <c r="C58" s="174"/>
      <c r="D58" s="456">
        <v>2</v>
      </c>
      <c r="E58" s="175"/>
      <c r="F58" s="176" t="s">
        <v>927</v>
      </c>
      <c r="G58" s="643"/>
      <c r="H58" s="177"/>
      <c r="I58" s="177"/>
      <c r="J58" s="175"/>
    </row>
    <row r="59" spans="1:10">
      <c r="A59" s="170" t="s">
        <v>491</v>
      </c>
      <c r="B59" s="282"/>
      <c r="C59" s="165" t="s">
        <v>6</v>
      </c>
      <c r="D59" s="1588" t="s">
        <v>1186</v>
      </c>
      <c r="E59" s="1589"/>
      <c r="F59" s="165" t="s">
        <v>10</v>
      </c>
      <c r="G59" s="1588"/>
      <c r="H59" s="1588"/>
      <c r="I59" s="172"/>
      <c r="J59" s="166"/>
    </row>
    <row r="60" spans="1:10">
      <c r="A60" s="169" t="s">
        <v>926</v>
      </c>
      <c r="B60" s="173"/>
      <c r="C60" s="174"/>
      <c r="D60" s="177"/>
      <c r="E60" s="175"/>
      <c r="F60" s="178"/>
      <c r="G60" s="177"/>
      <c r="H60" s="177"/>
      <c r="I60" s="177"/>
      <c r="J60" s="175"/>
    </row>
    <row r="61" spans="1:10">
      <c r="A61" s="179"/>
      <c r="B61" s="180"/>
      <c r="C61" s="180"/>
      <c r="D61" s="180"/>
      <c r="E61" s="180"/>
      <c r="F61" s="180"/>
      <c r="G61" s="180"/>
      <c r="H61" s="180"/>
      <c r="I61" s="180"/>
      <c r="J61" s="181"/>
    </row>
    <row r="62" spans="1:10">
      <c r="A62" s="182" t="s">
        <v>11</v>
      </c>
      <c r="B62" s="183"/>
      <c r="C62" s="172"/>
      <c r="D62" s="172"/>
      <c r="E62" s="166"/>
      <c r="F62" s="184" t="s">
        <v>12</v>
      </c>
      <c r="G62" s="184" t="s">
        <v>13</v>
      </c>
      <c r="H62" s="166"/>
      <c r="I62" s="1071" t="s">
        <v>14</v>
      </c>
      <c r="J62" s="166" t="s">
        <v>1189</v>
      </c>
    </row>
    <row r="63" spans="1:10" ht="18.75">
      <c r="A63" s="680" t="s">
        <v>926</v>
      </c>
      <c r="B63" s="647" t="s">
        <v>923</v>
      </c>
      <c r="C63" s="180"/>
      <c r="D63" s="180"/>
      <c r="E63" s="181"/>
      <c r="F63" s="179"/>
      <c r="G63" s="179"/>
      <c r="H63" s="181"/>
      <c r="I63" s="1072"/>
      <c r="J63" s="181"/>
    </row>
    <row r="64" spans="1:10" ht="15.75">
      <c r="A64" s="645"/>
      <c r="B64" s="510"/>
      <c r="C64" s="510"/>
      <c r="D64" s="510"/>
      <c r="E64" s="181"/>
      <c r="F64" s="179"/>
      <c r="G64" s="179"/>
      <c r="H64" s="181"/>
      <c r="I64" s="1072"/>
      <c r="J64" s="181"/>
    </row>
    <row r="65" spans="1:15" ht="15.75">
      <c r="A65" s="652"/>
      <c r="B65" s="651"/>
      <c r="C65" s="180"/>
      <c r="D65" s="180"/>
      <c r="E65" s="181"/>
      <c r="F65" s="179"/>
      <c r="G65" s="179"/>
      <c r="H65" s="181"/>
      <c r="I65" s="1072"/>
      <c r="J65" s="181"/>
      <c r="O65" s="1131"/>
    </row>
    <row r="66" spans="1:15" ht="15.75">
      <c r="A66" s="516"/>
      <c r="B66" s="186"/>
      <c r="C66" s="180"/>
      <c r="D66" s="180"/>
      <c r="E66" s="181"/>
      <c r="F66" s="179"/>
      <c r="G66" s="179"/>
      <c r="H66" s="181"/>
      <c r="I66" s="1072"/>
      <c r="J66" s="181"/>
    </row>
    <row r="67" spans="1:15">
      <c r="A67" s="648"/>
      <c r="B67" s="186" t="s">
        <v>928</v>
      </c>
      <c r="C67" s="180"/>
      <c r="D67" s="180"/>
      <c r="E67" s="181"/>
      <c r="F67" s="179"/>
      <c r="G67" s="179"/>
      <c r="H67" s="181"/>
      <c r="I67" s="1075"/>
      <c r="J67" s="181"/>
    </row>
    <row r="68" spans="1:15">
      <c r="A68" s="212"/>
      <c r="B68" s="198" t="s">
        <v>930</v>
      </c>
      <c r="C68" s="198"/>
      <c r="D68" s="198"/>
      <c r="E68" s="181"/>
      <c r="F68" s="179"/>
      <c r="G68" s="179"/>
      <c r="H68" s="180"/>
      <c r="I68" s="1072"/>
      <c r="J68" s="181"/>
    </row>
    <row r="69" spans="1:15">
      <c r="A69" s="648"/>
      <c r="B69" s="180"/>
      <c r="C69" s="198"/>
      <c r="D69" s="198"/>
      <c r="E69" s="181"/>
      <c r="F69" s="179"/>
      <c r="G69" s="179"/>
      <c r="H69" s="181"/>
      <c r="I69" s="1075"/>
      <c r="J69" s="181"/>
    </row>
    <row r="70" spans="1:15" ht="15.75" thickBot="1">
      <c r="A70" s="185"/>
      <c r="B70" s="180"/>
      <c r="C70" s="180" t="s">
        <v>924</v>
      </c>
      <c r="D70" s="198"/>
      <c r="E70" s="181"/>
      <c r="F70" s="179">
        <v>1</v>
      </c>
      <c r="G70" s="179">
        <v>0</v>
      </c>
      <c r="H70" s="181"/>
      <c r="I70" s="1073">
        <f>G70</f>
        <v>0</v>
      </c>
      <c r="J70" s="181"/>
    </row>
    <row r="71" spans="1:15" ht="15.75" thickTop="1">
      <c r="A71" s="212"/>
      <c r="B71" s="180"/>
      <c r="C71" s="198"/>
      <c r="D71" s="198"/>
      <c r="E71" s="181"/>
      <c r="F71" s="179"/>
      <c r="G71" s="179"/>
      <c r="H71" s="181"/>
      <c r="I71" s="1075"/>
      <c r="J71" s="181"/>
    </row>
    <row r="72" spans="1:15" ht="15.75" thickBot="1">
      <c r="A72" s="185"/>
      <c r="B72" s="196"/>
      <c r="C72" s="180" t="s">
        <v>1119</v>
      </c>
      <c r="D72" s="198"/>
      <c r="E72" s="181"/>
      <c r="F72" s="179">
        <v>1</v>
      </c>
      <c r="G72" s="179">
        <v>180</v>
      </c>
      <c r="H72" s="181"/>
      <c r="I72" s="1073">
        <f>G72</f>
        <v>180</v>
      </c>
      <c r="J72" s="181"/>
    </row>
    <row r="73" spans="1:15" ht="15.75" thickTop="1">
      <c r="A73" s="185"/>
      <c r="B73" s="180"/>
      <c r="C73" s="180"/>
      <c r="D73" s="180"/>
      <c r="E73" s="181"/>
      <c r="F73" s="179"/>
      <c r="G73" s="179"/>
      <c r="H73" s="181"/>
      <c r="I73" s="1075"/>
      <c r="J73" s="181"/>
    </row>
    <row r="74" spans="1:15">
      <c r="A74" s="197"/>
      <c r="B74" s="186" t="s">
        <v>929</v>
      </c>
      <c r="C74" s="198"/>
      <c r="D74" s="198"/>
      <c r="E74" s="181"/>
      <c r="F74" s="179"/>
      <c r="G74" s="179"/>
      <c r="H74" s="181"/>
      <c r="I74" s="1075"/>
      <c r="J74" s="181"/>
    </row>
    <row r="75" spans="1:15">
      <c r="A75" s="197"/>
      <c r="B75" s="180"/>
      <c r="C75" s="198"/>
      <c r="D75" s="198"/>
      <c r="E75" s="181"/>
      <c r="F75" s="179"/>
      <c r="G75" s="179"/>
      <c r="H75" s="181"/>
      <c r="I75" s="1075"/>
      <c r="J75" s="181"/>
    </row>
    <row r="76" spans="1:15" ht="15.75" thickBot="1">
      <c r="A76" s="197"/>
      <c r="B76" s="180" t="s">
        <v>925</v>
      </c>
      <c r="D76" s="198"/>
      <c r="E76" s="181"/>
      <c r="F76" s="179">
        <v>1</v>
      </c>
      <c r="G76" s="179">
        <v>26</v>
      </c>
      <c r="H76" s="181"/>
      <c r="I76" s="1073">
        <v>26</v>
      </c>
      <c r="J76" s="181" t="s">
        <v>1071</v>
      </c>
    </row>
    <row r="77" spans="1:15" ht="15.75" thickTop="1">
      <c r="A77" s="648" t="s">
        <v>1188</v>
      </c>
      <c r="B77" s="180"/>
      <c r="C77" s="198"/>
      <c r="D77" s="198"/>
      <c r="E77" s="181"/>
      <c r="F77" s="179"/>
      <c r="G77" s="179"/>
      <c r="H77" s="181"/>
      <c r="I77" s="1075"/>
      <c r="J77" s="181"/>
    </row>
    <row r="78" spans="1:15">
      <c r="A78" s="1570"/>
      <c r="B78" s="1571"/>
      <c r="C78" s="1571"/>
      <c r="D78" s="1571"/>
      <c r="E78" s="1572"/>
      <c r="F78" s="179"/>
      <c r="G78" s="179"/>
      <c r="H78" s="181"/>
      <c r="I78" s="1072"/>
      <c r="J78" s="181"/>
    </row>
    <row r="79" spans="1:15">
      <c r="A79" s="1573"/>
      <c r="B79" s="1574"/>
      <c r="C79" s="1574"/>
      <c r="D79" s="1574"/>
      <c r="E79" s="1575"/>
      <c r="F79" s="179"/>
      <c r="G79" s="179"/>
      <c r="H79" s="181"/>
      <c r="I79" s="1072"/>
      <c r="J79" s="181"/>
    </row>
    <row r="80" spans="1:15">
      <c r="A80" s="212"/>
      <c r="B80" s="541"/>
      <c r="C80" s="180"/>
      <c r="D80" s="541"/>
      <c r="E80" s="181"/>
      <c r="F80" s="179"/>
      <c r="G80" s="179"/>
      <c r="H80" s="181"/>
      <c r="I80" s="1072"/>
      <c r="J80" s="181"/>
    </row>
    <row r="81" spans="1:10">
      <c r="A81" s="214"/>
      <c r="B81" s="186"/>
      <c r="C81" s="180"/>
      <c r="D81" s="180"/>
      <c r="E81" s="181"/>
      <c r="F81" s="179"/>
      <c r="G81" s="179"/>
      <c r="H81" s="181"/>
      <c r="I81" s="1072"/>
      <c r="J81" s="181"/>
    </row>
    <row r="82" spans="1:10">
      <c r="A82" s="185"/>
      <c r="B82" s="186"/>
      <c r="C82" s="180"/>
      <c r="D82" s="180"/>
      <c r="E82" s="181"/>
      <c r="F82" s="179"/>
      <c r="G82" s="179"/>
      <c r="H82" s="181"/>
      <c r="I82" s="1072"/>
      <c r="J82" s="181"/>
    </row>
    <row r="83" spans="1:10">
      <c r="A83" s="212"/>
      <c r="B83" s="541"/>
      <c r="C83" s="180"/>
      <c r="D83" s="180"/>
      <c r="E83" s="181"/>
      <c r="F83" s="179"/>
      <c r="G83" s="179"/>
      <c r="H83" s="181"/>
      <c r="I83" s="1075"/>
      <c r="J83" s="181"/>
    </row>
    <row r="84" spans="1:10">
      <c r="A84" s="197"/>
      <c r="B84" s="198"/>
      <c r="C84" s="198"/>
      <c r="D84" s="198"/>
      <c r="E84" s="181"/>
      <c r="F84" s="179"/>
      <c r="G84" s="179"/>
      <c r="H84" s="180"/>
      <c r="I84" s="1072"/>
      <c r="J84" s="181"/>
    </row>
    <row r="85" spans="1:10" ht="15.75">
      <c r="A85" s="197"/>
      <c r="B85" s="646"/>
      <c r="C85" s="198"/>
      <c r="D85" s="198"/>
      <c r="E85" s="181"/>
      <c r="F85" s="179"/>
      <c r="G85" s="179"/>
      <c r="H85" s="181"/>
      <c r="I85" s="1072"/>
      <c r="J85" s="181"/>
    </row>
    <row r="86" spans="1:10">
      <c r="A86" s="197"/>
      <c r="B86" s="198"/>
      <c r="C86" s="198"/>
      <c r="D86" s="198"/>
      <c r="E86" s="181"/>
      <c r="F86" s="179"/>
      <c r="G86" s="179"/>
      <c r="H86" s="181"/>
      <c r="I86" s="1075"/>
      <c r="J86" s="181"/>
    </row>
    <row r="87" spans="1:10">
      <c r="A87" s="197"/>
      <c r="B87" s="198"/>
      <c r="C87" s="198"/>
      <c r="D87" s="198"/>
      <c r="E87" s="181"/>
      <c r="F87" s="179"/>
      <c r="G87" s="179"/>
      <c r="H87" s="180"/>
      <c r="I87" s="1072"/>
      <c r="J87" s="181"/>
    </row>
    <row r="88" spans="1:10">
      <c r="A88" s="197"/>
      <c r="B88" s="198"/>
      <c r="C88" s="198"/>
      <c r="D88" s="198"/>
      <c r="E88" s="181"/>
      <c r="F88" s="179"/>
      <c r="G88" s="179"/>
      <c r="H88" s="180"/>
      <c r="I88" s="1072"/>
      <c r="J88" s="181"/>
    </row>
    <row r="89" spans="1:10">
      <c r="A89" s="197"/>
      <c r="B89" s="198"/>
      <c r="C89" s="198"/>
      <c r="D89" s="198"/>
      <c r="E89" s="181"/>
      <c r="F89" s="179"/>
      <c r="G89" s="179"/>
      <c r="H89" s="180"/>
      <c r="I89" s="1072"/>
      <c r="J89" s="181"/>
    </row>
    <row r="90" spans="1:10">
      <c r="A90" s="197"/>
      <c r="B90" s="198"/>
      <c r="C90" s="198"/>
      <c r="D90" s="198"/>
      <c r="E90" s="181"/>
      <c r="F90" s="179"/>
      <c r="G90" s="179"/>
      <c r="H90" s="180"/>
      <c r="I90" s="1072"/>
      <c r="J90" s="181"/>
    </row>
    <row r="91" spans="1:10">
      <c r="A91" s="197"/>
      <c r="B91" s="198"/>
      <c r="C91" s="198"/>
      <c r="D91" s="198"/>
      <c r="E91" s="181"/>
      <c r="F91" s="179"/>
      <c r="G91" s="179"/>
      <c r="H91" s="180"/>
      <c r="I91" s="1072"/>
      <c r="J91" s="181"/>
    </row>
    <row r="92" spans="1:10">
      <c r="A92" s="197"/>
      <c r="B92" s="198"/>
      <c r="C92" s="198"/>
      <c r="D92" s="198"/>
      <c r="E92" s="181"/>
      <c r="F92" s="179"/>
      <c r="G92" s="179"/>
      <c r="H92" s="180"/>
      <c r="I92" s="1072"/>
      <c r="J92" s="181"/>
    </row>
    <row r="93" spans="1:10">
      <c r="A93" s="197"/>
      <c r="B93" s="198"/>
      <c r="C93" s="198"/>
      <c r="D93" s="198"/>
      <c r="E93" s="181"/>
      <c r="F93" s="179"/>
      <c r="G93" s="179"/>
      <c r="H93" s="180"/>
      <c r="I93" s="1072"/>
      <c r="J93" s="181"/>
    </row>
    <row r="94" spans="1:10">
      <c r="A94" s="197"/>
      <c r="B94" s="198"/>
      <c r="C94" s="198"/>
      <c r="D94" s="198"/>
      <c r="E94" s="181"/>
      <c r="F94" s="179"/>
      <c r="G94" s="179"/>
      <c r="H94" s="180"/>
      <c r="I94" s="1072"/>
      <c r="J94" s="181"/>
    </row>
    <row r="95" spans="1:10">
      <c r="A95" s="197"/>
      <c r="B95" s="198"/>
      <c r="C95" s="198"/>
      <c r="D95" s="198"/>
      <c r="E95" s="181"/>
      <c r="F95" s="179"/>
      <c r="G95" s="179"/>
      <c r="H95" s="180"/>
      <c r="I95" s="1072"/>
      <c r="J95" s="181"/>
    </row>
    <row r="96" spans="1:10">
      <c r="A96" s="197"/>
      <c r="B96" s="198"/>
      <c r="C96" s="198"/>
      <c r="D96" s="198"/>
      <c r="E96" s="181"/>
      <c r="F96" s="179"/>
      <c r="G96" s="179"/>
      <c r="H96" s="180"/>
      <c r="I96" s="1072"/>
      <c r="J96" s="181"/>
    </row>
    <row r="97" spans="1:11">
      <c r="A97" s="197"/>
      <c r="B97" s="198"/>
      <c r="C97" s="198"/>
      <c r="D97" s="198"/>
      <c r="E97" s="181"/>
      <c r="F97" s="179"/>
      <c r="G97" s="179"/>
      <c r="H97" s="180"/>
      <c r="I97" s="1072"/>
      <c r="J97" s="181"/>
    </row>
    <row r="98" spans="1:11">
      <c r="A98" s="197"/>
      <c r="B98" s="198"/>
      <c r="C98" s="198"/>
      <c r="D98" s="198"/>
      <c r="E98" s="181"/>
      <c r="F98" s="179"/>
      <c r="G98" s="179"/>
      <c r="H98" s="180"/>
      <c r="I98" s="1072"/>
      <c r="J98" s="181"/>
    </row>
    <row r="99" spans="1:11">
      <c r="A99" s="197"/>
      <c r="B99" s="198"/>
      <c r="C99" s="198"/>
      <c r="D99" s="198"/>
      <c r="E99" s="181"/>
      <c r="F99" s="179"/>
      <c r="G99" s="179"/>
      <c r="H99" s="180"/>
      <c r="I99" s="1072"/>
      <c r="J99" s="181"/>
    </row>
    <row r="100" spans="1:11">
      <c r="A100" s="179"/>
      <c r="B100" s="180"/>
      <c r="C100" s="180"/>
      <c r="D100" s="180"/>
      <c r="E100" s="180"/>
      <c r="F100" s="174"/>
      <c r="G100" s="174"/>
      <c r="H100" s="180"/>
      <c r="I100" s="1080"/>
      <c r="J100" s="181"/>
    </row>
    <row r="101" spans="1:11">
      <c r="A101" s="188"/>
      <c r="B101" s="29"/>
      <c r="C101" s="1576" t="s">
        <v>10</v>
      </c>
      <c r="D101" s="1577"/>
      <c r="E101" s="189" t="s">
        <v>18</v>
      </c>
      <c r="F101" s="190" t="s">
        <v>19</v>
      </c>
      <c r="G101" s="191"/>
      <c r="H101" s="191"/>
      <c r="I101" s="191"/>
      <c r="J101" s="192"/>
    </row>
    <row r="102" spans="1:11">
      <c r="A102" s="193" t="s">
        <v>15</v>
      </c>
      <c r="B102" s="188"/>
      <c r="C102" s="1568"/>
      <c r="D102" s="1569"/>
      <c r="E102" s="191"/>
      <c r="F102" s="191"/>
      <c r="G102" s="191"/>
      <c r="H102" s="191"/>
      <c r="I102" s="191"/>
      <c r="J102" s="192"/>
    </row>
    <row r="103" spans="1:11">
      <c r="A103" s="193" t="s">
        <v>16</v>
      </c>
      <c r="B103" s="188"/>
      <c r="C103" s="1568"/>
      <c r="D103" s="1569"/>
      <c r="E103" s="191"/>
      <c r="F103" s="191"/>
      <c r="G103" s="191"/>
      <c r="H103" s="191"/>
      <c r="I103" s="191"/>
      <c r="J103" s="192"/>
    </row>
    <row r="104" spans="1:11">
      <c r="A104" s="193" t="s">
        <v>553</v>
      </c>
      <c r="B104" s="188"/>
      <c r="C104" s="1568"/>
      <c r="D104" s="1569"/>
      <c r="E104" s="191"/>
      <c r="F104" s="191"/>
      <c r="G104" s="191"/>
      <c r="H104" s="191"/>
      <c r="I104" s="191"/>
      <c r="J104" s="192"/>
    </row>
    <row r="105" spans="1:11" s="1132" customFormat="1"/>
    <row r="106" spans="1:11" s="1133" customFormat="1">
      <c r="K106" s="1132"/>
    </row>
  </sheetData>
  <mergeCells count="22">
    <mergeCell ref="C50:D50"/>
    <mergeCell ref="A1:B1"/>
    <mergeCell ref="C1:E2"/>
    <mergeCell ref="G2:H2"/>
    <mergeCell ref="G5:H5"/>
    <mergeCell ref="C47:D47"/>
    <mergeCell ref="C48:D48"/>
    <mergeCell ref="C49:D49"/>
    <mergeCell ref="D5:E5"/>
    <mergeCell ref="A24:E24"/>
    <mergeCell ref="A25:E25"/>
    <mergeCell ref="A55:B55"/>
    <mergeCell ref="C55:E56"/>
    <mergeCell ref="G56:H56"/>
    <mergeCell ref="D59:E59"/>
    <mergeCell ref="G59:H59"/>
    <mergeCell ref="C104:D104"/>
    <mergeCell ref="A78:E78"/>
    <mergeCell ref="A79:E79"/>
    <mergeCell ref="C101:D101"/>
    <mergeCell ref="C102:D102"/>
    <mergeCell ref="C103:D103"/>
  </mergeCells>
  <pageMargins left="0.7" right="0.7" top="0.75" bottom="0.75" header="0.3" footer="0.3"/>
  <pageSetup paperSize="9" scale="86" orientation="portrait" r:id="rId1"/>
  <rowBreaks count="1" manualBreakCount="1">
    <brk id="5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5"/>
  <sheetViews>
    <sheetView view="pageBreakPreview" topLeftCell="A88" zoomScaleSheetLayoutView="100" workbookViewId="0">
      <selection activeCell="F126" sqref="F126"/>
    </sheetView>
  </sheetViews>
  <sheetFormatPr defaultRowHeight="15"/>
  <cols>
    <col min="2" max="2" width="14.140625" customWidth="1"/>
    <col min="5" max="5" width="11.85546875" customWidth="1"/>
  </cols>
  <sheetData>
    <row r="1" spans="1:11">
      <c r="A1" s="1605" t="s">
        <v>0</v>
      </c>
      <c r="B1" s="1606"/>
      <c r="C1" s="1607" t="s">
        <v>4</v>
      </c>
      <c r="D1" s="1608"/>
      <c r="E1" s="1609"/>
      <c r="F1" s="897" t="s">
        <v>7</v>
      </c>
      <c r="G1" s="898"/>
      <c r="H1" s="899" t="s">
        <v>8</v>
      </c>
      <c r="I1" s="898"/>
      <c r="J1" s="899" t="s">
        <v>61</v>
      </c>
      <c r="K1" s="900"/>
    </row>
    <row r="2" spans="1:11" ht="15.75">
      <c r="A2" s="901" t="s">
        <v>552</v>
      </c>
      <c r="B2" s="169"/>
      <c r="C2" s="1583"/>
      <c r="D2" s="1584"/>
      <c r="E2" s="1585"/>
      <c r="F2" s="1595">
        <v>18</v>
      </c>
      <c r="G2" s="1596"/>
      <c r="H2" s="1586"/>
      <c r="I2" s="1587"/>
      <c r="J2" s="479"/>
      <c r="K2" s="902" t="s">
        <v>767</v>
      </c>
    </row>
    <row r="3" spans="1:11">
      <c r="A3" s="903" t="s">
        <v>2</v>
      </c>
      <c r="B3" s="171"/>
      <c r="C3" s="167" t="s">
        <v>5</v>
      </c>
      <c r="D3" s="172"/>
      <c r="E3" s="166"/>
      <c r="F3" s="165" t="s">
        <v>9</v>
      </c>
      <c r="G3" s="172"/>
      <c r="H3" s="172"/>
      <c r="I3" s="172"/>
      <c r="J3" s="172"/>
      <c r="K3" s="904"/>
    </row>
    <row r="4" spans="1:11">
      <c r="A4" s="905" t="s">
        <v>490</v>
      </c>
      <c r="B4" s="173"/>
      <c r="C4" s="174"/>
      <c r="D4" s="456">
        <v>2</v>
      </c>
      <c r="E4" s="175"/>
      <c r="F4" s="176" t="s">
        <v>936</v>
      </c>
      <c r="G4" s="177"/>
      <c r="H4" s="177"/>
      <c r="I4" s="177"/>
      <c r="J4" s="177"/>
      <c r="K4" s="906"/>
    </row>
    <row r="5" spans="1:11">
      <c r="A5" s="903" t="s">
        <v>491</v>
      </c>
      <c r="B5" s="282"/>
      <c r="C5" s="165" t="s">
        <v>6</v>
      </c>
      <c r="D5" s="1588" t="s">
        <v>1186</v>
      </c>
      <c r="E5" s="1589"/>
      <c r="F5" s="165" t="s">
        <v>10</v>
      </c>
      <c r="G5" s="172"/>
      <c r="H5" s="172"/>
      <c r="I5" s="172"/>
      <c r="J5" s="172"/>
      <c r="K5" s="904"/>
    </row>
    <row r="6" spans="1:11">
      <c r="A6" s="905" t="s">
        <v>937</v>
      </c>
      <c r="B6" s="173"/>
      <c r="C6" s="174"/>
      <c r="D6" s="177"/>
      <c r="E6" s="175"/>
      <c r="F6" s="178"/>
      <c r="G6" s="177"/>
      <c r="H6" s="177"/>
      <c r="I6" s="177"/>
      <c r="J6" s="177"/>
      <c r="K6" s="906"/>
    </row>
    <row r="7" spans="1:11">
      <c r="A7" s="907"/>
      <c r="B7" s="180"/>
      <c r="C7" s="180"/>
      <c r="D7" s="180"/>
      <c r="E7" s="180"/>
      <c r="F7" s="180"/>
      <c r="G7" s="180"/>
      <c r="H7" s="180"/>
      <c r="I7" s="180"/>
      <c r="J7" s="180"/>
      <c r="K7" s="908"/>
    </row>
    <row r="8" spans="1:11">
      <c r="A8" s="909" t="s">
        <v>11</v>
      </c>
      <c r="B8" s="183"/>
      <c r="C8" s="172"/>
      <c r="D8" s="172"/>
      <c r="E8" s="166"/>
      <c r="F8" s="184" t="s">
        <v>12</v>
      </c>
      <c r="G8" s="166"/>
      <c r="H8" s="184" t="s">
        <v>13</v>
      </c>
      <c r="I8" s="166"/>
      <c r="J8" s="1071" t="s">
        <v>14</v>
      </c>
      <c r="K8" s="904" t="s">
        <v>1189</v>
      </c>
    </row>
    <row r="9" spans="1:11" ht="16.5">
      <c r="A9" s="910" t="s">
        <v>938</v>
      </c>
      <c r="B9" s="186"/>
      <c r="C9" s="180"/>
      <c r="D9" s="180"/>
      <c r="E9" s="181"/>
      <c r="F9" s="179"/>
      <c r="G9" s="181"/>
      <c r="H9" s="179"/>
      <c r="I9" s="181"/>
      <c r="J9" s="1072"/>
      <c r="K9" s="908"/>
    </row>
    <row r="10" spans="1:11" ht="15" customHeight="1">
      <c r="A10" s="1597" t="s">
        <v>940</v>
      </c>
      <c r="B10" s="1598"/>
      <c r="C10" s="1598"/>
      <c r="D10" s="1598"/>
      <c r="E10" s="181"/>
      <c r="F10" s="179"/>
      <c r="G10" s="181"/>
      <c r="H10" s="179"/>
      <c r="I10" s="181"/>
      <c r="J10" s="1072"/>
      <c r="K10" s="908"/>
    </row>
    <row r="11" spans="1:11">
      <c r="A11" s="1597"/>
      <c r="B11" s="1598"/>
      <c r="C11" s="1598"/>
      <c r="D11" s="1598"/>
      <c r="E11" s="181"/>
      <c r="F11" s="179"/>
      <c r="G11" s="181"/>
      <c r="H11" s="179"/>
      <c r="I11" s="181"/>
      <c r="J11" s="1072"/>
      <c r="K11" s="908"/>
    </row>
    <row r="12" spans="1:11">
      <c r="A12" s="1597"/>
      <c r="B12" s="1598"/>
      <c r="C12" s="1598"/>
      <c r="D12" s="1598"/>
      <c r="E12" s="181"/>
      <c r="F12" s="179"/>
      <c r="G12" s="181"/>
      <c r="H12" s="179"/>
      <c r="I12" s="181"/>
      <c r="J12" s="1072"/>
      <c r="K12" s="908"/>
    </row>
    <row r="13" spans="1:11">
      <c r="A13" s="1597"/>
      <c r="B13" s="1598"/>
      <c r="C13" s="1598"/>
      <c r="D13" s="1598"/>
      <c r="E13" s="181"/>
      <c r="F13" s="179"/>
      <c r="G13" s="181"/>
      <c r="H13" s="179"/>
      <c r="I13" s="181"/>
      <c r="J13" s="1072"/>
      <c r="K13" s="908"/>
    </row>
    <row r="14" spans="1:11">
      <c r="A14" s="1597"/>
      <c r="B14" s="1598"/>
      <c r="C14" s="1598"/>
      <c r="D14" s="1598"/>
      <c r="E14" s="181"/>
      <c r="F14" s="179"/>
      <c r="G14" s="181"/>
      <c r="H14" s="179"/>
      <c r="I14" s="181"/>
      <c r="J14" s="1072"/>
      <c r="K14" s="908"/>
    </row>
    <row r="15" spans="1:11" ht="15.75" thickBot="1">
      <c r="A15" s="911"/>
      <c r="B15" s="198" t="s">
        <v>939</v>
      </c>
      <c r="C15" s="198"/>
      <c r="D15" s="198"/>
      <c r="E15" s="181"/>
      <c r="F15" s="179">
        <v>1</v>
      </c>
      <c r="G15" s="181"/>
      <c r="H15" s="179">
        <v>0</v>
      </c>
      <c r="I15" s="180"/>
      <c r="J15" s="1073">
        <f>H15*F15</f>
        <v>0</v>
      </c>
      <c r="K15" s="908"/>
    </row>
    <row r="16" spans="1:11" ht="15.75" thickTop="1">
      <c r="A16" s="912"/>
      <c r="B16" s="198"/>
      <c r="C16" s="198"/>
      <c r="D16" s="198"/>
      <c r="E16" s="181"/>
      <c r="F16" s="179"/>
      <c r="G16" s="181"/>
      <c r="H16" s="179"/>
      <c r="I16" s="181"/>
      <c r="J16" s="1072"/>
      <c r="K16" s="908"/>
    </row>
    <row r="17" spans="1:11" ht="15.75" thickBot="1">
      <c r="A17" s="912"/>
      <c r="B17" s="198" t="s">
        <v>941</v>
      </c>
      <c r="C17" s="198"/>
      <c r="D17" s="198"/>
      <c r="E17" s="181"/>
      <c r="F17" s="179">
        <v>1</v>
      </c>
      <c r="G17" s="181"/>
      <c r="H17" s="179">
        <v>0</v>
      </c>
      <c r="I17" s="180"/>
      <c r="J17" s="1073">
        <f>H17*F17</f>
        <v>0</v>
      </c>
      <c r="K17" s="908"/>
    </row>
    <row r="18" spans="1:11" ht="15.75" thickTop="1">
      <c r="A18" s="912"/>
      <c r="B18" s="198"/>
      <c r="C18" s="198"/>
      <c r="D18" s="198"/>
      <c r="E18" s="181"/>
      <c r="F18" s="180"/>
      <c r="G18" s="180"/>
      <c r="H18" s="179"/>
      <c r="I18" s="181"/>
      <c r="J18" s="1072"/>
      <c r="K18" s="908"/>
    </row>
    <row r="19" spans="1:11" ht="15.75" thickBot="1">
      <c r="A19" s="912"/>
      <c r="B19" s="198" t="s">
        <v>942</v>
      </c>
      <c r="C19" s="198"/>
      <c r="D19" s="198"/>
      <c r="E19" s="181"/>
      <c r="F19" s="179">
        <v>1</v>
      </c>
      <c r="G19" s="181"/>
      <c r="H19" s="185">
        <v>0</v>
      </c>
      <c r="I19" s="180"/>
      <c r="J19" s="1073">
        <f>H19*F19</f>
        <v>0</v>
      </c>
      <c r="K19" s="908"/>
    </row>
    <row r="20" spans="1:11" ht="15.75" thickTop="1">
      <c r="A20" s="1592"/>
      <c r="B20" s="1593"/>
      <c r="C20" s="1593"/>
      <c r="D20" s="1593"/>
      <c r="E20" s="1594"/>
      <c r="F20" s="180"/>
      <c r="G20" s="180"/>
      <c r="H20" s="179"/>
      <c r="I20" s="181"/>
      <c r="J20" s="1072"/>
      <c r="K20" s="908"/>
    </row>
    <row r="21" spans="1:11" ht="15.75" thickBot="1">
      <c r="A21" s="912"/>
      <c r="B21" s="198" t="s">
        <v>943</v>
      </c>
      <c r="C21" s="198"/>
      <c r="D21" s="198"/>
      <c r="E21" s="181"/>
      <c r="F21" s="179">
        <v>1</v>
      </c>
      <c r="G21" s="181"/>
      <c r="H21" s="185">
        <v>750</v>
      </c>
      <c r="I21" s="180"/>
      <c r="J21" s="1073">
        <v>750</v>
      </c>
      <c r="K21" s="908" t="s">
        <v>484</v>
      </c>
    </row>
    <row r="22" spans="1:11" ht="15.75" thickTop="1">
      <c r="A22" s="1592" t="s">
        <v>1187</v>
      </c>
      <c r="B22" s="1593"/>
      <c r="C22" s="1593"/>
      <c r="D22" s="1593"/>
      <c r="E22" s="1594"/>
      <c r="F22" s="180"/>
      <c r="G22" s="180"/>
      <c r="H22" s="179"/>
      <c r="I22" s="181"/>
      <c r="J22" s="1072"/>
      <c r="K22" s="908"/>
    </row>
    <row r="23" spans="1:11" ht="15.75" thickBot="1">
      <c r="A23" s="912"/>
      <c r="B23" s="198" t="s">
        <v>944</v>
      </c>
      <c r="C23" s="198"/>
      <c r="D23" s="198"/>
      <c r="E23" s="181"/>
      <c r="F23" s="179">
        <v>1</v>
      </c>
      <c r="G23" s="181"/>
      <c r="H23" s="185">
        <v>0</v>
      </c>
      <c r="I23" s="180"/>
      <c r="J23" s="1073">
        <f>H23*F23</f>
        <v>0</v>
      </c>
      <c r="K23" s="908"/>
    </row>
    <row r="24" spans="1:11" ht="15.75" thickTop="1">
      <c r="A24" s="912"/>
      <c r="B24" s="198"/>
      <c r="C24" s="198"/>
      <c r="D24" s="198"/>
      <c r="E24" s="181"/>
      <c r="F24" s="180"/>
      <c r="G24" s="180"/>
      <c r="H24" s="179"/>
      <c r="I24" s="181"/>
      <c r="J24" s="1072"/>
      <c r="K24" s="908"/>
    </row>
    <row r="25" spans="1:11" ht="31.5" customHeight="1">
      <c r="A25" s="1590" t="s">
        <v>945</v>
      </c>
      <c r="B25" s="1591"/>
      <c r="C25" s="1591"/>
      <c r="D25" s="1591"/>
      <c r="E25" s="181"/>
      <c r="F25" s="542"/>
      <c r="G25" s="542"/>
      <c r="H25" s="214"/>
      <c r="I25" s="181"/>
      <c r="J25" s="1072"/>
      <c r="K25" s="908"/>
    </row>
    <row r="26" spans="1:11">
      <c r="A26" s="913"/>
      <c r="B26" s="198"/>
      <c r="C26" s="198"/>
      <c r="D26" s="198"/>
      <c r="E26" s="181"/>
      <c r="F26" s="179"/>
      <c r="G26" s="181"/>
      <c r="H26" s="179"/>
      <c r="I26" s="181"/>
      <c r="J26" s="1072"/>
      <c r="K26" s="908"/>
    </row>
    <row r="27" spans="1:11" ht="15.75" thickBot="1">
      <c r="A27" s="911"/>
      <c r="B27" s="198" t="s">
        <v>939</v>
      </c>
      <c r="C27" s="198"/>
      <c r="D27" s="198"/>
      <c r="E27" s="181"/>
      <c r="F27" s="179">
        <v>1</v>
      </c>
      <c r="G27" s="181"/>
      <c r="H27" s="179">
        <v>0</v>
      </c>
      <c r="I27" s="180"/>
      <c r="J27" s="1073">
        <f>H27*F27</f>
        <v>0</v>
      </c>
      <c r="K27" s="908"/>
    </row>
    <row r="28" spans="1:11" ht="15.75" thickTop="1">
      <c r="A28" s="913"/>
      <c r="B28" s="198"/>
      <c r="C28" s="198"/>
      <c r="D28" s="198"/>
      <c r="E28" s="181"/>
      <c r="F28" s="179"/>
      <c r="G28" s="181"/>
      <c r="H28" s="179"/>
      <c r="I28" s="180"/>
      <c r="J28" s="1072"/>
      <c r="K28" s="908"/>
    </row>
    <row r="29" spans="1:11" ht="15.75" thickBot="1">
      <c r="A29" s="911"/>
      <c r="B29" s="198" t="s">
        <v>941</v>
      </c>
      <c r="C29" s="198"/>
      <c r="D29" s="198"/>
      <c r="E29" s="181"/>
      <c r="F29" s="179">
        <v>1</v>
      </c>
      <c r="G29" s="181"/>
      <c r="H29" s="179">
        <v>0</v>
      </c>
      <c r="I29" s="180"/>
      <c r="J29" s="1073">
        <f>H29*F29</f>
        <v>0</v>
      </c>
      <c r="K29" s="908"/>
    </row>
    <row r="30" spans="1:11" ht="15.75" thickTop="1">
      <c r="A30" s="911"/>
      <c r="B30" s="198"/>
      <c r="C30" s="198"/>
      <c r="D30" s="198"/>
      <c r="E30" s="181"/>
      <c r="F30" s="179"/>
      <c r="G30" s="181"/>
      <c r="H30" s="179"/>
      <c r="I30" s="180"/>
      <c r="J30" s="1074"/>
      <c r="K30" s="908"/>
    </row>
    <row r="31" spans="1:11" ht="15.75" thickBot="1">
      <c r="A31" s="911"/>
      <c r="B31" s="198" t="s">
        <v>942</v>
      </c>
      <c r="C31" s="198"/>
      <c r="D31" s="198"/>
      <c r="E31" s="181"/>
      <c r="F31" s="179">
        <v>1</v>
      </c>
      <c r="G31" s="181"/>
      <c r="H31" s="179">
        <v>0</v>
      </c>
      <c r="I31" s="180"/>
      <c r="J31" s="1073">
        <f>H31*F31</f>
        <v>0</v>
      </c>
      <c r="K31" s="908"/>
    </row>
    <row r="32" spans="1:11" ht="15.75" thickTop="1">
      <c r="A32" s="1592" t="s">
        <v>1178</v>
      </c>
      <c r="B32" s="1593"/>
      <c r="C32" s="1593"/>
      <c r="D32" s="1593"/>
      <c r="E32" s="1594"/>
      <c r="F32" s="179"/>
      <c r="G32" s="181"/>
      <c r="H32" s="179"/>
      <c r="I32" s="181"/>
      <c r="J32" s="1074"/>
      <c r="K32" s="908"/>
    </row>
    <row r="33" spans="1:11">
      <c r="A33" s="1040"/>
      <c r="B33" s="1041"/>
      <c r="C33" s="1041"/>
      <c r="D33" s="1041"/>
      <c r="E33" s="1042"/>
      <c r="F33" s="179"/>
      <c r="G33" s="181"/>
      <c r="H33" s="179"/>
      <c r="I33" s="181"/>
      <c r="J33" s="1074"/>
      <c r="K33" s="908"/>
    </row>
    <row r="34" spans="1:11" ht="65.25" customHeight="1">
      <c r="A34" s="1610" t="s">
        <v>1179</v>
      </c>
      <c r="B34" s="1611"/>
      <c r="C34" s="1611"/>
      <c r="D34" s="1611"/>
      <c r="E34" s="1612"/>
      <c r="F34" s="179"/>
      <c r="G34" s="181"/>
      <c r="H34" s="179"/>
      <c r="I34" s="181"/>
      <c r="J34" s="1074"/>
      <c r="K34" s="908"/>
    </row>
    <row r="35" spans="1:11">
      <c r="A35" s="1604" t="s">
        <v>1182</v>
      </c>
      <c r="B35" s="1599"/>
      <c r="C35" s="1599"/>
      <c r="D35" s="1599"/>
      <c r="E35" s="1600"/>
      <c r="F35" s="179">
        <v>4</v>
      </c>
      <c r="G35" s="181"/>
      <c r="H35" s="179">
        <v>29</v>
      </c>
      <c r="I35" s="180"/>
      <c r="J35" s="1075"/>
      <c r="K35" s="908"/>
    </row>
    <row r="36" spans="1:11" ht="18" thickBot="1">
      <c r="A36" s="1604" t="s">
        <v>1184</v>
      </c>
      <c r="B36" s="1599"/>
      <c r="C36" s="1599"/>
      <c r="D36" s="1039"/>
      <c r="E36" s="1043"/>
      <c r="F36" s="179"/>
      <c r="G36" s="181"/>
      <c r="H36" s="174">
        <v>25</v>
      </c>
      <c r="I36" s="175"/>
      <c r="J36" s="1073">
        <f>H36*H35*F35</f>
        <v>2900</v>
      </c>
      <c r="K36" s="908"/>
    </row>
    <row r="37" spans="1:11" ht="16.5" thickTop="1" thickBot="1">
      <c r="A37" s="1064"/>
      <c r="B37" s="1062"/>
      <c r="C37" s="1062"/>
      <c r="D37" s="1062"/>
      <c r="E37" s="1063"/>
      <c r="F37" s="179"/>
      <c r="G37" s="181"/>
      <c r="H37" s="179"/>
      <c r="I37" s="180"/>
      <c r="J37" s="1076">
        <f>J36</f>
        <v>2900</v>
      </c>
      <c r="K37" s="908"/>
    </row>
    <row r="38" spans="1:11" ht="16.5" thickTop="1" thickBot="1">
      <c r="A38" s="911"/>
      <c r="B38" s="1599" t="s">
        <v>1209</v>
      </c>
      <c r="C38" s="1599"/>
      <c r="D38" s="1599"/>
      <c r="E38" s="1600"/>
      <c r="F38" s="179">
        <v>0.6</v>
      </c>
      <c r="G38" s="181"/>
      <c r="H38" s="179"/>
      <c r="I38" s="180"/>
      <c r="J38" s="1078">
        <f>J37*F38</f>
        <v>1740</v>
      </c>
      <c r="K38" s="908"/>
    </row>
    <row r="39" spans="1:11" ht="15.75" thickTop="1">
      <c r="A39" s="911"/>
      <c r="B39" s="1108"/>
      <c r="C39" s="1108"/>
      <c r="D39" s="1108"/>
      <c r="E39" s="1109"/>
      <c r="F39" s="179"/>
      <c r="G39" s="181"/>
      <c r="H39" s="179"/>
      <c r="I39" s="180"/>
      <c r="J39" s="1074"/>
      <c r="K39" s="908"/>
    </row>
    <row r="40" spans="1:11">
      <c r="A40" s="911"/>
      <c r="B40" s="1108"/>
      <c r="C40" s="1108"/>
      <c r="D40" s="1108"/>
      <c r="E40" s="1109"/>
      <c r="F40" s="179"/>
      <c r="G40" s="181"/>
      <c r="H40" s="179"/>
      <c r="I40" s="180"/>
      <c r="J40" s="1074"/>
      <c r="K40" s="908"/>
    </row>
    <row r="41" spans="1:11" ht="66.75" customHeight="1">
      <c r="A41" s="1601" t="s">
        <v>1181</v>
      </c>
      <c r="B41" s="1602"/>
      <c r="C41" s="1602"/>
      <c r="D41" s="1602"/>
      <c r="E41" s="1603"/>
      <c r="F41" s="179"/>
      <c r="G41" s="181"/>
      <c r="H41" s="179"/>
      <c r="I41" s="181"/>
      <c r="J41" s="1074"/>
      <c r="K41" s="908"/>
    </row>
    <row r="42" spans="1:11">
      <c r="A42" s="911"/>
      <c r="B42" s="884"/>
      <c r="C42" s="884"/>
      <c r="D42" s="884"/>
      <c r="E42" s="181"/>
      <c r="F42" s="179"/>
      <c r="G42" s="181"/>
      <c r="H42" s="179"/>
      <c r="I42" s="181"/>
      <c r="J42" s="1074"/>
      <c r="K42" s="908"/>
    </row>
    <row r="43" spans="1:11">
      <c r="A43" s="1604" t="s">
        <v>1182</v>
      </c>
      <c r="B43" s="1599"/>
      <c r="C43" s="1599"/>
      <c r="D43" s="1599"/>
      <c r="E43" s="1600"/>
      <c r="F43" s="179">
        <v>2</v>
      </c>
      <c r="G43" s="181"/>
      <c r="H43" s="179">
        <v>29</v>
      </c>
      <c r="I43" s="180"/>
      <c r="J43" s="1075"/>
      <c r="K43" s="908"/>
    </row>
    <row r="44" spans="1:11" ht="15.75" thickBot="1">
      <c r="A44" s="911"/>
      <c r="B44" s="1599" t="s">
        <v>1185</v>
      </c>
      <c r="C44" s="1599"/>
      <c r="D44" s="1599"/>
      <c r="E44" s="1600"/>
      <c r="F44" s="179"/>
      <c r="G44" s="181"/>
      <c r="H44" s="174">
        <v>25</v>
      </c>
      <c r="I44" s="175"/>
      <c r="J44" s="1077">
        <f>H44*H43*F43</f>
        <v>1450</v>
      </c>
      <c r="K44" s="908"/>
    </row>
    <row r="45" spans="1:11" ht="15.75" thickTop="1">
      <c r="A45" s="911"/>
      <c r="B45" s="1106"/>
      <c r="C45" s="1106"/>
      <c r="D45" s="1106"/>
      <c r="E45" s="1107"/>
      <c r="F45" s="179"/>
      <c r="G45" s="181"/>
      <c r="H45" s="179"/>
      <c r="I45" s="181"/>
      <c r="J45" s="1074"/>
      <c r="K45" s="908"/>
    </row>
    <row r="46" spans="1:11" ht="15.75" thickBot="1">
      <c r="A46" s="911"/>
      <c r="B46" s="1599" t="s">
        <v>1180</v>
      </c>
      <c r="C46" s="1599"/>
      <c r="D46" s="1599"/>
      <c r="E46" s="1600"/>
      <c r="F46" s="179"/>
      <c r="G46" s="181"/>
      <c r="H46" s="179"/>
      <c r="I46" s="181"/>
      <c r="J46" s="1073">
        <f>J44</f>
        <v>1450</v>
      </c>
      <c r="K46" s="908"/>
    </row>
    <row r="47" spans="1:11" ht="15.75" thickTop="1">
      <c r="A47" s="911"/>
      <c r="B47" s="1106"/>
      <c r="C47" s="1106"/>
      <c r="D47" s="1106"/>
      <c r="E47" s="1107"/>
      <c r="F47" s="179"/>
      <c r="G47" s="181"/>
      <c r="H47" s="179"/>
      <c r="I47" s="181"/>
      <c r="J47" s="1075"/>
      <c r="K47" s="908"/>
    </row>
    <row r="48" spans="1:11" ht="15.75" thickBot="1">
      <c r="A48" s="911" t="s">
        <v>1202</v>
      </c>
      <c r="B48" s="1066"/>
      <c r="C48" s="1066"/>
      <c r="D48" s="1066"/>
      <c r="E48" s="1067"/>
      <c r="F48" s="179">
        <v>0.64</v>
      </c>
      <c r="G48" s="181"/>
      <c r="H48" s="179">
        <v>36</v>
      </c>
      <c r="I48" s="181"/>
      <c r="J48" s="1073">
        <f>H48*F48</f>
        <v>23.04</v>
      </c>
      <c r="K48" s="908" t="s">
        <v>1071</v>
      </c>
    </row>
    <row r="49" spans="1:11" ht="16.5" thickTop="1" thickBot="1">
      <c r="A49" s="911"/>
      <c r="B49" s="198"/>
      <c r="C49" s="198"/>
      <c r="D49" s="198"/>
      <c r="E49" s="181"/>
      <c r="F49" s="179"/>
      <c r="G49" s="181"/>
      <c r="H49" s="179"/>
      <c r="I49" s="181"/>
      <c r="J49" s="1079"/>
      <c r="K49" s="908"/>
    </row>
    <row r="50" spans="1:11" ht="15.75" thickTop="1">
      <c r="A50" s="911"/>
      <c r="B50" s="198"/>
      <c r="C50" s="198"/>
      <c r="D50" s="198"/>
      <c r="E50" s="180"/>
      <c r="F50" s="179"/>
      <c r="G50" s="180"/>
      <c r="H50" s="180"/>
      <c r="I50" s="180"/>
      <c r="J50" s="180"/>
      <c r="K50" s="908"/>
    </row>
    <row r="51" spans="1:11">
      <c r="A51" s="911"/>
      <c r="B51" s="198"/>
      <c r="C51" s="198"/>
      <c r="D51" s="198"/>
      <c r="E51" s="180"/>
      <c r="F51" s="179"/>
      <c r="G51" s="180"/>
      <c r="H51" s="180"/>
      <c r="I51" s="180"/>
      <c r="J51" s="180"/>
      <c r="K51" s="908"/>
    </row>
    <row r="52" spans="1:11">
      <c r="A52" s="911"/>
      <c r="B52" s="198"/>
      <c r="C52" s="198"/>
      <c r="D52" s="198"/>
      <c r="E52" s="180"/>
      <c r="F52" s="179"/>
      <c r="G52" s="180"/>
      <c r="H52" s="180"/>
      <c r="I52" s="180"/>
      <c r="J52" s="180"/>
      <c r="K52" s="908"/>
    </row>
    <row r="53" spans="1:11" ht="15.75" thickBot="1">
      <c r="A53" s="911"/>
      <c r="B53" s="198"/>
      <c r="C53" s="198"/>
      <c r="D53" s="198"/>
      <c r="E53" s="180"/>
      <c r="F53" s="179"/>
      <c r="G53" s="180"/>
      <c r="H53" s="180"/>
      <c r="I53" s="180"/>
      <c r="J53" s="180"/>
      <c r="K53" s="908"/>
    </row>
    <row r="54" spans="1:11" ht="15.75" thickTop="1">
      <c r="A54" s="914"/>
      <c r="B54" s="215"/>
      <c r="C54" s="215" t="s">
        <v>10</v>
      </c>
      <c r="D54" s="215" t="s">
        <v>18</v>
      </c>
      <c r="E54" s="217"/>
      <c r="F54" s="216" t="s">
        <v>19</v>
      </c>
      <c r="G54" s="217"/>
      <c r="H54" s="217"/>
      <c r="I54" s="217"/>
      <c r="J54" s="217"/>
      <c r="K54" s="915"/>
    </row>
    <row r="55" spans="1:11" ht="17.25" customHeight="1">
      <c r="A55" s="916" t="s">
        <v>15</v>
      </c>
      <c r="B55" s="188"/>
      <c r="C55" s="188"/>
      <c r="D55" s="194"/>
      <c r="E55" s="191"/>
      <c r="F55" s="191"/>
      <c r="G55" s="191"/>
      <c r="H55" s="191"/>
      <c r="I55" s="191"/>
      <c r="J55" s="191"/>
      <c r="K55" s="917"/>
    </row>
    <row r="56" spans="1:11" ht="21.75" customHeight="1">
      <c r="A56" s="916" t="s">
        <v>16</v>
      </c>
      <c r="B56" s="188"/>
      <c r="C56" s="188"/>
      <c r="D56" s="194"/>
      <c r="E56" s="191"/>
      <c r="F56" s="191"/>
      <c r="G56" s="191"/>
      <c r="H56" s="191"/>
      <c r="I56" s="191"/>
      <c r="J56" s="191"/>
      <c r="K56" s="917"/>
    </row>
    <row r="57" spans="1:11" ht="21.75" customHeight="1" thickBot="1">
      <c r="A57" s="918" t="s">
        <v>553</v>
      </c>
      <c r="B57" s="919"/>
      <c r="C57" s="919"/>
      <c r="D57" s="920"/>
      <c r="E57" s="921"/>
      <c r="F57" s="921"/>
      <c r="G57" s="921"/>
      <c r="H57" s="921"/>
      <c r="I57" s="921"/>
      <c r="J57" s="921"/>
      <c r="K57" s="922"/>
    </row>
    <row r="60" spans="1:11" ht="17.25" customHeight="1" thickBot="1"/>
    <row r="61" spans="1:11">
      <c r="A61" s="1605" t="s">
        <v>0</v>
      </c>
      <c r="B61" s="1606"/>
      <c r="C61" s="1607" t="s">
        <v>4</v>
      </c>
      <c r="D61" s="1608"/>
      <c r="E61" s="1609"/>
      <c r="F61" s="897" t="s">
        <v>7</v>
      </c>
      <c r="G61" s="898"/>
      <c r="H61" s="899" t="s">
        <v>8</v>
      </c>
      <c r="I61" s="898"/>
      <c r="J61" s="899" t="s">
        <v>61</v>
      </c>
      <c r="K61" s="900"/>
    </row>
    <row r="62" spans="1:11" ht="15.75">
      <c r="A62" s="901" t="s">
        <v>552</v>
      </c>
      <c r="B62" s="169"/>
      <c r="C62" s="1583"/>
      <c r="D62" s="1584"/>
      <c r="E62" s="1585"/>
      <c r="F62" s="1595">
        <v>20</v>
      </c>
      <c r="G62" s="1596"/>
      <c r="H62" s="1586"/>
      <c r="I62" s="1587"/>
      <c r="J62" s="479"/>
      <c r="K62" s="902" t="s">
        <v>767</v>
      </c>
    </row>
    <row r="63" spans="1:11">
      <c r="A63" s="903" t="s">
        <v>2</v>
      </c>
      <c r="B63" s="171"/>
      <c r="C63" s="167" t="s">
        <v>5</v>
      </c>
      <c r="D63" s="172"/>
      <c r="E63" s="166"/>
      <c r="F63" s="165" t="s">
        <v>9</v>
      </c>
      <c r="G63" s="172"/>
      <c r="H63" s="172"/>
      <c r="I63" s="172"/>
      <c r="J63" s="172"/>
      <c r="K63" s="904"/>
    </row>
    <row r="64" spans="1:11">
      <c r="A64" s="905" t="s">
        <v>490</v>
      </c>
      <c r="B64" s="173"/>
      <c r="C64" s="174"/>
      <c r="D64" s="456">
        <v>2</v>
      </c>
      <c r="E64" s="175"/>
      <c r="F64" s="176" t="s">
        <v>936</v>
      </c>
      <c r="G64" s="177"/>
      <c r="H64" s="177"/>
      <c r="I64" s="177"/>
      <c r="J64" s="177"/>
      <c r="K64" s="906"/>
    </row>
    <row r="65" spans="1:11">
      <c r="A65" s="903" t="s">
        <v>491</v>
      </c>
      <c r="B65" s="282"/>
      <c r="C65" s="165" t="s">
        <v>6</v>
      </c>
      <c r="D65" s="1588" t="s">
        <v>1186</v>
      </c>
      <c r="E65" s="1589"/>
      <c r="F65" s="165" t="s">
        <v>10</v>
      </c>
      <c r="G65" s="172"/>
      <c r="H65" s="172"/>
      <c r="I65" s="172"/>
      <c r="J65" s="172"/>
      <c r="K65" s="904"/>
    </row>
    <row r="66" spans="1:11">
      <c r="A66" s="905" t="s">
        <v>937</v>
      </c>
      <c r="B66" s="173"/>
      <c r="C66" s="174"/>
      <c r="D66" s="177"/>
      <c r="E66" s="175"/>
      <c r="F66" s="178"/>
      <c r="G66" s="177"/>
      <c r="H66" s="177"/>
      <c r="I66" s="177"/>
      <c r="J66" s="177"/>
      <c r="K66" s="906"/>
    </row>
    <row r="67" spans="1:11">
      <c r="A67" s="907"/>
      <c r="B67" s="180"/>
      <c r="C67" s="180"/>
      <c r="D67" s="180"/>
      <c r="E67" s="180"/>
      <c r="F67" s="180"/>
      <c r="G67" s="180"/>
      <c r="H67" s="180"/>
      <c r="I67" s="180"/>
      <c r="J67" s="180"/>
      <c r="K67" s="908"/>
    </row>
    <row r="68" spans="1:11">
      <c r="A68" s="909" t="s">
        <v>11</v>
      </c>
      <c r="B68" s="183"/>
      <c r="C68" s="172"/>
      <c r="D68" s="172"/>
      <c r="E68" s="166"/>
      <c r="F68" s="184" t="s">
        <v>12</v>
      </c>
      <c r="G68" s="166"/>
      <c r="H68" s="184" t="s">
        <v>13</v>
      </c>
      <c r="I68" s="166"/>
      <c r="J68" s="1071" t="s">
        <v>14</v>
      </c>
      <c r="K68" s="904" t="s">
        <v>1189</v>
      </c>
    </row>
    <row r="69" spans="1:11" ht="16.5">
      <c r="A69" s="910" t="s">
        <v>938</v>
      </c>
      <c r="B69" s="186"/>
      <c r="C69" s="180"/>
      <c r="D69" s="180"/>
      <c r="E69" s="181"/>
      <c r="F69" s="179"/>
      <c r="G69" s="181"/>
      <c r="H69" s="179"/>
      <c r="I69" s="181"/>
      <c r="J69" s="1072"/>
      <c r="K69" s="908"/>
    </row>
    <row r="70" spans="1:11">
      <c r="A70" s="1597" t="s">
        <v>940</v>
      </c>
      <c r="B70" s="1598"/>
      <c r="C70" s="1598"/>
      <c r="D70" s="1598"/>
      <c r="E70" s="181"/>
      <c r="F70" s="179"/>
      <c r="G70" s="181"/>
      <c r="H70" s="179"/>
      <c r="I70" s="181"/>
      <c r="J70" s="1072"/>
      <c r="K70" s="908"/>
    </row>
    <row r="71" spans="1:11">
      <c r="A71" s="1597"/>
      <c r="B71" s="1598"/>
      <c r="C71" s="1598"/>
      <c r="D71" s="1598"/>
      <c r="E71" s="181"/>
      <c r="F71" s="179"/>
      <c r="G71" s="181"/>
      <c r="H71" s="179"/>
      <c r="I71" s="181"/>
      <c r="J71" s="1072"/>
      <c r="K71" s="908"/>
    </row>
    <row r="72" spans="1:11">
      <c r="A72" s="1597"/>
      <c r="B72" s="1598"/>
      <c r="C72" s="1598"/>
      <c r="D72" s="1598"/>
      <c r="E72" s="181"/>
      <c r="F72" s="179"/>
      <c r="G72" s="181"/>
      <c r="H72" s="179"/>
      <c r="I72" s="181"/>
      <c r="J72" s="1072"/>
      <c r="K72" s="908"/>
    </row>
    <row r="73" spans="1:11">
      <c r="A73" s="1597"/>
      <c r="B73" s="1598"/>
      <c r="C73" s="1598"/>
      <c r="D73" s="1598"/>
      <c r="E73" s="181"/>
      <c r="F73" s="179"/>
      <c r="G73" s="181"/>
      <c r="H73" s="179"/>
      <c r="I73" s="181"/>
      <c r="J73" s="1072"/>
      <c r="K73" s="908"/>
    </row>
    <row r="74" spans="1:11">
      <c r="A74" s="1597"/>
      <c r="B74" s="1598"/>
      <c r="C74" s="1598"/>
      <c r="D74" s="1598"/>
      <c r="E74" s="181"/>
      <c r="F74" s="179"/>
      <c r="G74" s="181"/>
      <c r="H74" s="179"/>
      <c r="I74" s="181"/>
      <c r="J74" s="1072"/>
      <c r="K74" s="908"/>
    </row>
    <row r="75" spans="1:11" ht="15.75" thickBot="1">
      <c r="A75" s="911"/>
      <c r="B75" s="198" t="s">
        <v>939</v>
      </c>
      <c r="C75" s="198"/>
      <c r="D75" s="198"/>
      <c r="E75" s="181"/>
      <c r="F75" s="179">
        <v>1</v>
      </c>
      <c r="G75" s="181"/>
      <c r="H75" s="179">
        <v>0</v>
      </c>
      <c r="I75" s="180"/>
      <c r="J75" s="1073">
        <f>H75*F75</f>
        <v>0</v>
      </c>
      <c r="K75" s="908"/>
    </row>
    <row r="76" spans="1:11" ht="15.75" thickTop="1">
      <c r="A76" s="912"/>
      <c r="B76" s="198"/>
      <c r="C76" s="198"/>
      <c r="D76" s="198"/>
      <c r="E76" s="181"/>
      <c r="F76" s="179"/>
      <c r="G76" s="181"/>
      <c r="H76" s="179"/>
      <c r="I76" s="181"/>
      <c r="J76" s="1072"/>
      <c r="K76" s="908"/>
    </row>
    <row r="77" spans="1:11" ht="15.75" thickBot="1">
      <c r="A77" s="912"/>
      <c r="B77" s="198" t="s">
        <v>941</v>
      </c>
      <c r="C77" s="198"/>
      <c r="D77" s="198"/>
      <c r="E77" s="181"/>
      <c r="F77" s="179">
        <v>1</v>
      </c>
      <c r="G77" s="181"/>
      <c r="H77" s="179">
        <v>0</v>
      </c>
      <c r="I77" s="180"/>
      <c r="J77" s="1073">
        <f>H77*F77</f>
        <v>0</v>
      </c>
      <c r="K77" s="908"/>
    </row>
    <row r="78" spans="1:11" ht="15.75" thickTop="1">
      <c r="A78" s="912"/>
      <c r="B78" s="198"/>
      <c r="C78" s="198"/>
      <c r="D78" s="198"/>
      <c r="E78" s="181"/>
      <c r="F78" s="180"/>
      <c r="G78" s="180"/>
      <c r="H78" s="179"/>
      <c r="I78" s="181"/>
      <c r="J78" s="1072"/>
      <c r="K78" s="908"/>
    </row>
    <row r="79" spans="1:11" ht="15.75" thickBot="1">
      <c r="A79" s="912"/>
      <c r="B79" s="198" t="s">
        <v>942</v>
      </c>
      <c r="C79" s="198"/>
      <c r="D79" s="198"/>
      <c r="E79" s="181"/>
      <c r="F79" s="179">
        <v>1</v>
      </c>
      <c r="G79" s="181"/>
      <c r="H79" s="185">
        <v>0</v>
      </c>
      <c r="I79" s="180"/>
      <c r="J79" s="1073">
        <f>H79*F79</f>
        <v>0</v>
      </c>
      <c r="K79" s="908"/>
    </row>
    <row r="80" spans="1:11" ht="15.75" thickTop="1">
      <c r="A80" s="1592"/>
      <c r="B80" s="1593"/>
      <c r="C80" s="1593"/>
      <c r="D80" s="1593"/>
      <c r="E80" s="1594"/>
      <c r="F80" s="180"/>
      <c r="G80" s="180"/>
      <c r="H80" s="179"/>
      <c r="I80" s="181"/>
      <c r="J80" s="1072"/>
      <c r="K80" s="908"/>
    </row>
    <row r="81" spans="1:11" ht="15.75" thickBot="1">
      <c r="A81" s="912"/>
      <c r="B81" s="198" t="s">
        <v>943</v>
      </c>
      <c r="C81" s="198"/>
      <c r="D81" s="198"/>
      <c r="E81" s="181"/>
      <c r="F81" s="179">
        <v>1</v>
      </c>
      <c r="G81" s="181"/>
      <c r="H81" s="185">
        <v>0</v>
      </c>
      <c r="I81" s="180"/>
      <c r="J81" s="1073">
        <v>0</v>
      </c>
      <c r="K81" s="908" t="s">
        <v>484</v>
      </c>
    </row>
    <row r="82" spans="1:11" ht="15.75" thickTop="1">
      <c r="A82" s="1592" t="s">
        <v>1187</v>
      </c>
      <c r="B82" s="1593"/>
      <c r="C82" s="1593"/>
      <c r="D82" s="1593"/>
      <c r="E82" s="1594"/>
      <c r="F82" s="180"/>
      <c r="G82" s="180"/>
      <c r="H82" s="179"/>
      <c r="I82" s="181"/>
      <c r="J82" s="1072"/>
      <c r="K82" s="908"/>
    </row>
    <row r="83" spans="1:11" ht="15.75" thickBot="1">
      <c r="A83" s="912"/>
      <c r="B83" s="198" t="s">
        <v>944</v>
      </c>
      <c r="C83" s="198"/>
      <c r="D83" s="198"/>
      <c r="E83" s="181"/>
      <c r="F83" s="179">
        <v>1</v>
      </c>
      <c r="G83" s="181"/>
      <c r="H83" s="185">
        <v>0</v>
      </c>
      <c r="I83" s="180"/>
      <c r="J83" s="1073">
        <f>H83*F83</f>
        <v>0</v>
      </c>
      <c r="K83" s="908"/>
    </row>
    <row r="84" spans="1:11" ht="15.75" thickTop="1">
      <c r="A84" s="912"/>
      <c r="B84" s="198"/>
      <c r="C84" s="198"/>
      <c r="D84" s="198"/>
      <c r="E84" s="181"/>
      <c r="F84" s="180"/>
      <c r="G84" s="180"/>
      <c r="H84" s="179"/>
      <c r="I84" s="181"/>
      <c r="J84" s="1072"/>
      <c r="K84" s="908"/>
    </row>
    <row r="85" spans="1:11" ht="15.75">
      <c r="A85" s="1590" t="s">
        <v>1286</v>
      </c>
      <c r="B85" s="1591"/>
      <c r="C85" s="1591"/>
      <c r="D85" s="1591"/>
      <c r="E85" s="181"/>
      <c r="F85" s="542"/>
      <c r="G85" s="542"/>
      <c r="H85" s="214"/>
      <c r="I85" s="181"/>
      <c r="J85" s="1072"/>
      <c r="K85" s="908"/>
    </row>
    <row r="86" spans="1:11">
      <c r="A86" s="913"/>
      <c r="B86" s="198"/>
      <c r="C86" s="198"/>
      <c r="D86" s="198"/>
      <c r="E86" s="181"/>
      <c r="F86" s="179"/>
      <c r="G86" s="181"/>
      <c r="H86" s="179"/>
      <c r="I86" s="181"/>
      <c r="J86" s="1072"/>
      <c r="K86" s="908"/>
    </row>
    <row r="87" spans="1:11" ht="15.75" thickBot="1">
      <c r="A87" s="911"/>
      <c r="B87" s="198" t="s">
        <v>939</v>
      </c>
      <c r="C87" s="198"/>
      <c r="D87" s="198"/>
      <c r="E87" s="181"/>
      <c r="F87" s="179">
        <v>1</v>
      </c>
      <c r="G87" s="181"/>
      <c r="H87" s="179">
        <v>65</v>
      </c>
      <c r="I87" s="180"/>
      <c r="J87" s="1073">
        <f>H87*F87</f>
        <v>65</v>
      </c>
      <c r="K87" s="908"/>
    </row>
    <row r="88" spans="1:11" ht="15.75" thickTop="1">
      <c r="A88" s="913"/>
      <c r="B88" s="198"/>
      <c r="C88" s="198"/>
      <c r="D88" s="198"/>
      <c r="E88" s="181"/>
      <c r="F88" s="179"/>
      <c r="G88" s="181"/>
      <c r="H88" s="179"/>
      <c r="I88" s="180"/>
      <c r="J88" s="1072"/>
      <c r="K88" s="908"/>
    </row>
    <row r="89" spans="1:11" ht="15.75" thickBot="1">
      <c r="A89" s="911"/>
      <c r="B89" s="198" t="s">
        <v>941</v>
      </c>
      <c r="C89" s="198"/>
      <c r="D89" s="198"/>
      <c r="E89" s="181"/>
      <c r="F89" s="179">
        <v>1</v>
      </c>
      <c r="G89" s="181"/>
      <c r="H89" s="179">
        <v>0</v>
      </c>
      <c r="I89" s="180"/>
      <c r="J89" s="1073">
        <f>H89*F89</f>
        <v>0</v>
      </c>
      <c r="K89" s="908"/>
    </row>
    <row r="90" spans="1:11" ht="15.75" thickTop="1">
      <c r="A90" s="911"/>
      <c r="B90" s="198"/>
      <c r="C90" s="198"/>
      <c r="D90" s="198"/>
      <c r="E90" s="181"/>
      <c r="F90" s="179"/>
      <c r="G90" s="181"/>
      <c r="H90" s="179"/>
      <c r="I90" s="180"/>
      <c r="J90" s="1074"/>
      <c r="K90" s="908"/>
    </row>
    <row r="91" spans="1:11" ht="15.75" thickBot="1">
      <c r="A91" s="911"/>
      <c r="B91" s="198" t="s">
        <v>942</v>
      </c>
      <c r="C91" s="198"/>
      <c r="D91" s="198"/>
      <c r="E91" s="181"/>
      <c r="F91" s="179">
        <v>1</v>
      </c>
      <c r="G91" s="181"/>
      <c r="H91" s="179">
        <v>0</v>
      </c>
      <c r="I91" s="180"/>
      <c r="J91" s="1073">
        <f>H91*F91</f>
        <v>0</v>
      </c>
      <c r="K91" s="908"/>
    </row>
    <row r="92" spans="1:11" ht="15.75" thickTop="1">
      <c r="A92" s="1592" t="s">
        <v>1178</v>
      </c>
      <c r="B92" s="1593"/>
      <c r="C92" s="1593"/>
      <c r="D92" s="1593"/>
      <c r="E92" s="1594"/>
      <c r="F92" s="179"/>
      <c r="G92" s="181"/>
      <c r="H92" s="179"/>
      <c r="I92" s="181"/>
      <c r="J92" s="1074"/>
      <c r="K92" s="908"/>
    </row>
    <row r="93" spans="1:11">
      <c r="A93" s="1154"/>
      <c r="B93" s="1155"/>
      <c r="C93" s="1155"/>
      <c r="D93" s="1155"/>
      <c r="E93" s="1156"/>
      <c r="F93" s="179"/>
      <c r="G93" s="181"/>
      <c r="H93" s="179"/>
      <c r="I93" s="181"/>
      <c r="J93" s="1074"/>
      <c r="K93" s="908"/>
    </row>
    <row r="94" spans="1:11" ht="15.75" thickBot="1">
      <c r="A94" s="911" t="s">
        <v>1240</v>
      </c>
      <c r="B94" s="1152"/>
      <c r="C94" s="1152"/>
      <c r="D94" s="1152"/>
      <c r="E94" s="1153"/>
      <c r="F94" s="179">
        <v>4</v>
      </c>
      <c r="G94" s="181"/>
      <c r="H94" s="179">
        <v>45</v>
      </c>
      <c r="I94" s="181"/>
      <c r="J94" s="1073">
        <v>312</v>
      </c>
      <c r="K94" s="908" t="s">
        <v>484</v>
      </c>
    </row>
    <row r="95" spans="1:11" ht="15.75" thickTop="1">
      <c r="A95" s="911" t="s">
        <v>1241</v>
      </c>
      <c r="B95" s="1152"/>
      <c r="C95" s="1152"/>
      <c r="D95" s="1152"/>
      <c r="E95" s="1153"/>
      <c r="F95" s="179">
        <v>1</v>
      </c>
      <c r="G95" s="181"/>
      <c r="H95" s="179">
        <v>18</v>
      </c>
      <c r="I95" s="181"/>
      <c r="J95" s="1075">
        <v>180</v>
      </c>
      <c r="K95" s="908" t="s">
        <v>484</v>
      </c>
    </row>
    <row r="96" spans="1:11" ht="15.75" thickBot="1">
      <c r="A96" s="911" t="s">
        <v>1242</v>
      </c>
      <c r="B96" s="1152"/>
      <c r="C96" s="1152"/>
      <c r="D96" s="1152"/>
      <c r="E96" s="1153"/>
      <c r="F96" s="179">
        <v>1</v>
      </c>
      <c r="G96" s="181"/>
      <c r="H96" s="179">
        <f>J94-J95</f>
        <v>132</v>
      </c>
      <c r="I96" s="181"/>
      <c r="J96" s="1073">
        <f>H96</f>
        <v>132</v>
      </c>
      <c r="K96" s="908" t="s">
        <v>484</v>
      </c>
    </row>
    <row r="97" spans="1:11" ht="15.75" thickTop="1">
      <c r="A97" s="911"/>
      <c r="B97" s="1152"/>
      <c r="C97" s="1152"/>
      <c r="D97" s="1152"/>
      <c r="E97" s="1153"/>
      <c r="F97" s="179"/>
      <c r="G97" s="181"/>
      <c r="H97" s="179"/>
      <c r="I97" s="181"/>
      <c r="J97" s="1075"/>
      <c r="K97" s="908"/>
    </row>
    <row r="98" spans="1:11" ht="15.75" thickBot="1">
      <c r="A98" s="911" t="s">
        <v>1202</v>
      </c>
      <c r="B98" s="1122"/>
      <c r="C98" s="1122"/>
      <c r="D98" s="1122"/>
      <c r="E98" s="1123"/>
      <c r="F98" s="179">
        <v>1</v>
      </c>
      <c r="G98" s="181"/>
      <c r="H98" s="179">
        <v>0</v>
      </c>
      <c r="I98" s="181"/>
      <c r="J98" s="1073">
        <v>0</v>
      </c>
      <c r="K98" s="908" t="s">
        <v>1071</v>
      </c>
    </row>
    <row r="99" spans="1:11" ht="15.75" thickTop="1">
      <c r="A99" s="911"/>
      <c r="B99" s="1152"/>
      <c r="C99" s="1152"/>
      <c r="D99" s="1152"/>
      <c r="E99" s="1153"/>
      <c r="F99" s="179"/>
      <c r="G99" s="181"/>
      <c r="H99" s="179"/>
      <c r="I99" s="181"/>
      <c r="J99" s="1075"/>
      <c r="K99" s="908"/>
    </row>
    <row r="100" spans="1:11">
      <c r="A100" s="911" t="s">
        <v>1243</v>
      </c>
      <c r="B100" s="1152"/>
      <c r="C100" s="1152"/>
      <c r="D100" s="1152"/>
      <c r="E100" s="1153" t="s">
        <v>1244</v>
      </c>
      <c r="F100" s="179"/>
      <c r="G100" s="181"/>
      <c r="H100" s="179"/>
      <c r="I100" s="181"/>
      <c r="J100" s="1075"/>
      <c r="K100" s="908"/>
    </row>
    <row r="101" spans="1:11">
      <c r="A101" s="1592" t="s">
        <v>1245</v>
      </c>
      <c r="B101" s="1593"/>
      <c r="C101" s="1593"/>
      <c r="D101" s="1593"/>
      <c r="E101" s="1594"/>
      <c r="F101" s="179"/>
      <c r="G101" s="181"/>
      <c r="H101" s="179"/>
      <c r="I101" s="181"/>
      <c r="J101" s="1074"/>
      <c r="K101" s="908"/>
    </row>
    <row r="102" spans="1:11">
      <c r="A102" s="1592" t="s">
        <v>1245</v>
      </c>
      <c r="B102" s="1593"/>
      <c r="C102" s="1593"/>
      <c r="D102" s="1593"/>
      <c r="E102" s="1594"/>
      <c r="F102" s="179"/>
      <c r="G102" s="181"/>
      <c r="H102" s="179"/>
      <c r="I102" s="181"/>
      <c r="J102" s="1074"/>
      <c r="K102" s="908"/>
    </row>
    <row r="103" spans="1:11" ht="15.75" thickBot="1">
      <c r="A103" s="911" t="s">
        <v>1246</v>
      </c>
      <c r="B103" s="1152"/>
      <c r="C103" s="1152" t="s">
        <v>1247</v>
      </c>
      <c r="D103" s="1152"/>
      <c r="E103" s="1153"/>
      <c r="F103" s="179">
        <v>1</v>
      </c>
      <c r="G103" s="181"/>
      <c r="H103" s="179">
        <v>150</v>
      </c>
      <c r="I103" s="181"/>
      <c r="J103" s="1073">
        <v>150</v>
      </c>
      <c r="K103" s="908" t="s">
        <v>484</v>
      </c>
    </row>
    <row r="104" spans="1:11" ht="15.75" thickTop="1">
      <c r="A104" s="1592" t="s">
        <v>1248</v>
      </c>
      <c r="B104" s="1593"/>
      <c r="C104" s="1593"/>
      <c r="D104" s="1593"/>
      <c r="E104" s="1594"/>
      <c r="F104" s="179"/>
      <c r="G104" s="181"/>
      <c r="H104" s="179"/>
      <c r="I104" s="181"/>
      <c r="J104" s="1074"/>
      <c r="K104" s="908"/>
    </row>
    <row r="105" spans="1:11">
      <c r="A105" s="1592" t="s">
        <v>1249</v>
      </c>
      <c r="B105" s="1593"/>
      <c r="C105" s="1593"/>
      <c r="D105" s="1593"/>
      <c r="E105" s="1594"/>
      <c r="F105" s="179"/>
      <c r="G105" s="181"/>
      <c r="H105" s="179"/>
      <c r="I105" s="181"/>
      <c r="J105" s="1074"/>
      <c r="K105" s="908"/>
    </row>
    <row r="106" spans="1:11">
      <c r="A106" s="1592" t="s">
        <v>1250</v>
      </c>
      <c r="B106" s="1593"/>
      <c r="C106" s="1593"/>
      <c r="D106" s="1593"/>
      <c r="E106" s="1594"/>
      <c r="F106" s="179">
        <v>1</v>
      </c>
      <c r="G106" s="181"/>
      <c r="H106" s="179">
        <v>50</v>
      </c>
      <c r="I106" s="181"/>
      <c r="J106" s="1074"/>
      <c r="K106" s="908"/>
    </row>
    <row r="107" spans="1:11">
      <c r="A107" s="1592" t="s">
        <v>1251</v>
      </c>
      <c r="B107" s="1593"/>
      <c r="C107" s="1593"/>
      <c r="D107" s="1593"/>
      <c r="E107" s="1594"/>
      <c r="F107" s="179"/>
      <c r="G107" s="181"/>
      <c r="H107" s="179">
        <v>1.5</v>
      </c>
      <c r="I107" s="181"/>
      <c r="J107" s="1074"/>
      <c r="K107" s="908"/>
    </row>
    <row r="108" spans="1:11" ht="15.75" thickBot="1">
      <c r="A108" s="1154"/>
      <c r="B108" s="1155"/>
      <c r="C108" s="1155"/>
      <c r="D108" s="1155"/>
      <c r="E108" s="1156"/>
      <c r="F108" s="179"/>
      <c r="G108" s="181"/>
      <c r="H108" s="174">
        <v>0.8</v>
      </c>
      <c r="I108" s="175"/>
      <c r="J108" s="1077">
        <f>H108*H107*H106</f>
        <v>60.000000000000007</v>
      </c>
      <c r="K108" s="908" t="s">
        <v>141</v>
      </c>
    </row>
    <row r="109" spans="1:11" ht="15.75" thickTop="1">
      <c r="A109" s="1592" t="s">
        <v>1259</v>
      </c>
      <c r="B109" s="1593"/>
      <c r="C109" s="1593"/>
      <c r="D109" s="1593"/>
      <c r="E109" s="1594"/>
      <c r="F109" s="179"/>
      <c r="G109" s="181"/>
      <c r="H109" s="179"/>
      <c r="I109" s="181"/>
      <c r="J109" s="1074"/>
      <c r="K109" s="908"/>
    </row>
    <row r="110" spans="1:11">
      <c r="A110" s="1592" t="s">
        <v>1260</v>
      </c>
      <c r="B110" s="1593"/>
      <c r="C110" s="1593"/>
      <c r="D110" s="1593"/>
      <c r="E110" s="1594"/>
      <c r="F110" s="179">
        <v>1</v>
      </c>
      <c r="G110" s="181"/>
      <c r="H110" s="179">
        <v>150</v>
      </c>
      <c r="I110" s="181"/>
      <c r="J110" s="1074"/>
      <c r="K110" s="908"/>
    </row>
    <row r="111" spans="1:11">
      <c r="A111" s="1154"/>
      <c r="B111" s="1155"/>
      <c r="C111" s="1155"/>
      <c r="D111" s="1155"/>
      <c r="E111" s="1156"/>
      <c r="F111" s="179"/>
      <c r="G111" s="181"/>
      <c r="H111" s="179">
        <v>1.5</v>
      </c>
      <c r="I111" s="181"/>
      <c r="J111" s="1074"/>
      <c r="K111" s="908"/>
    </row>
    <row r="112" spans="1:11" ht="15.75" thickBot="1">
      <c r="A112" s="1186"/>
      <c r="B112" s="1155"/>
      <c r="C112" s="1155"/>
      <c r="D112" s="1155"/>
      <c r="E112" s="1156"/>
      <c r="F112" s="179"/>
      <c r="G112" s="181"/>
      <c r="H112" s="174">
        <v>0.8</v>
      </c>
      <c r="I112" s="175"/>
      <c r="J112" s="1077">
        <f>H112*H111*H110</f>
        <v>180.00000000000003</v>
      </c>
      <c r="K112" s="908" t="s">
        <v>141</v>
      </c>
    </row>
    <row r="113" spans="1:11" ht="15.75" thickTop="1">
      <c r="A113" s="1154"/>
      <c r="B113" s="1155"/>
      <c r="C113" s="1155"/>
      <c r="D113" s="1155"/>
      <c r="E113" s="1156"/>
      <c r="F113" s="179"/>
      <c r="G113" s="181"/>
      <c r="H113" s="179"/>
      <c r="I113" s="181"/>
      <c r="J113" s="1074"/>
      <c r="K113" s="908"/>
    </row>
    <row r="114" spans="1:11" ht="15.75" thickBot="1">
      <c r="A114" s="1592" t="s">
        <v>1287</v>
      </c>
      <c r="B114" s="1593"/>
      <c r="C114" s="1593"/>
      <c r="D114" s="1593"/>
      <c r="E114" s="1594"/>
      <c r="F114" s="179">
        <v>1</v>
      </c>
      <c r="G114" s="181"/>
      <c r="H114" s="174">
        <v>400</v>
      </c>
      <c r="I114" s="175"/>
      <c r="J114" s="1077">
        <v>400</v>
      </c>
      <c r="K114" s="908" t="s">
        <v>484</v>
      </c>
    </row>
    <row r="115" spans="1:11" ht="15.75" thickTop="1">
      <c r="A115" s="1154"/>
      <c r="B115" s="1155"/>
      <c r="C115" s="1155"/>
      <c r="D115" s="1155"/>
      <c r="E115" s="1156"/>
      <c r="F115" s="179"/>
      <c r="G115" s="181"/>
      <c r="H115" s="179"/>
      <c r="I115" s="181"/>
      <c r="J115" s="1074"/>
      <c r="K115" s="908"/>
    </row>
    <row r="116" spans="1:11">
      <c r="A116" s="1154"/>
      <c r="B116" s="1155"/>
      <c r="C116" s="1155"/>
      <c r="D116" s="1155"/>
      <c r="E116" s="1156"/>
      <c r="F116" s="179"/>
      <c r="G116" s="181"/>
      <c r="H116" s="179"/>
      <c r="I116" s="181"/>
      <c r="J116" s="1074"/>
      <c r="K116" s="908"/>
    </row>
    <row r="117" spans="1:11">
      <c r="A117" s="1154"/>
      <c r="B117" s="1155"/>
      <c r="C117" s="1155"/>
      <c r="D117" s="1155"/>
      <c r="E117" s="1156"/>
      <c r="F117" s="179"/>
      <c r="G117" s="181"/>
      <c r="H117" s="179"/>
      <c r="I117" s="181"/>
      <c r="J117" s="1074"/>
      <c r="K117" s="908"/>
    </row>
    <row r="118" spans="1:11">
      <c r="A118" s="1154"/>
      <c r="B118" s="1155"/>
      <c r="C118" s="1155"/>
      <c r="D118" s="1155"/>
      <c r="E118" s="1156"/>
      <c r="F118" s="179"/>
      <c r="G118" s="181"/>
      <c r="H118" s="179"/>
      <c r="I118" s="181"/>
      <c r="J118" s="1074"/>
      <c r="K118" s="908"/>
    </row>
    <row r="119" spans="1:11">
      <c r="A119" s="1154"/>
      <c r="B119" s="1155"/>
      <c r="C119" s="1155"/>
      <c r="D119" s="1155"/>
      <c r="E119" s="1156"/>
      <c r="F119" s="179"/>
      <c r="G119" s="181"/>
      <c r="H119" s="179"/>
      <c r="I119" s="181"/>
      <c r="J119" s="1074"/>
      <c r="K119" s="908"/>
    </row>
    <row r="120" spans="1:11">
      <c r="A120" s="1154"/>
      <c r="B120" s="1155"/>
      <c r="C120" s="1155"/>
      <c r="D120" s="1155"/>
      <c r="E120" s="1156"/>
      <c r="F120" s="179"/>
      <c r="G120" s="181"/>
      <c r="H120" s="179"/>
      <c r="I120" s="181"/>
      <c r="J120" s="1074"/>
      <c r="K120" s="908"/>
    </row>
    <row r="121" spans="1:11" ht="15.75" thickBot="1">
      <c r="A121" s="911"/>
      <c r="B121" s="198"/>
      <c r="C121" s="198"/>
      <c r="D121" s="198"/>
      <c r="E121" s="181"/>
      <c r="F121" s="179"/>
      <c r="G121" s="181"/>
      <c r="H121" s="179"/>
      <c r="I121" s="181"/>
      <c r="J121" s="1079"/>
      <c r="K121" s="908"/>
    </row>
    <row r="122" spans="1:11" ht="15.75" thickTop="1">
      <c r="A122" s="914"/>
      <c r="B122" s="215"/>
      <c r="C122" s="215" t="s">
        <v>10</v>
      </c>
      <c r="D122" s="215" t="s">
        <v>18</v>
      </c>
      <c r="E122" s="217"/>
      <c r="F122" s="216" t="s">
        <v>19</v>
      </c>
      <c r="G122" s="217"/>
      <c r="H122" s="217"/>
      <c r="I122" s="217"/>
      <c r="J122" s="217"/>
      <c r="K122" s="915"/>
    </row>
    <row r="123" spans="1:11">
      <c r="A123" s="916" t="s">
        <v>15</v>
      </c>
      <c r="B123" s="188"/>
      <c r="C123" s="188"/>
      <c r="D123" s="194"/>
      <c r="E123" s="191"/>
      <c r="F123" s="191"/>
      <c r="G123" s="191"/>
      <c r="H123" s="191"/>
      <c r="I123" s="191"/>
      <c r="J123" s="191"/>
      <c r="K123" s="917"/>
    </row>
    <row r="124" spans="1:11">
      <c r="A124" s="916" t="s">
        <v>16</v>
      </c>
      <c r="B124" s="188"/>
      <c r="C124" s="188"/>
      <c r="D124" s="194"/>
      <c r="E124" s="191"/>
      <c r="F124" s="191"/>
      <c r="G124" s="191"/>
      <c r="H124" s="191"/>
      <c r="I124" s="191"/>
      <c r="J124" s="191"/>
      <c r="K124" s="917"/>
    </row>
    <row r="125" spans="1:11" ht="15.75" thickBot="1">
      <c r="A125" s="918" t="s">
        <v>553</v>
      </c>
      <c r="B125" s="919"/>
      <c r="C125" s="919"/>
      <c r="D125" s="920"/>
      <c r="E125" s="921"/>
      <c r="F125" s="921"/>
      <c r="G125" s="921"/>
      <c r="H125" s="921"/>
      <c r="I125" s="921"/>
      <c r="J125" s="921"/>
      <c r="K125" s="922"/>
    </row>
    <row r="130" spans="1:11" ht="15.75" thickBot="1"/>
    <row r="131" spans="1:11">
      <c r="A131" s="1605" t="s">
        <v>0</v>
      </c>
      <c r="B131" s="1606"/>
      <c r="C131" s="1607" t="s">
        <v>4</v>
      </c>
      <c r="D131" s="1608"/>
      <c r="E131" s="1609"/>
      <c r="F131" s="897" t="s">
        <v>7</v>
      </c>
      <c r="G131" s="898"/>
      <c r="H131" s="899" t="s">
        <v>8</v>
      </c>
      <c r="I131" s="898"/>
      <c r="J131" s="899" t="s">
        <v>61</v>
      </c>
      <c r="K131" s="900"/>
    </row>
    <row r="132" spans="1:11" ht="15.75">
      <c r="A132" s="901" t="s">
        <v>552</v>
      </c>
      <c r="B132" s="169"/>
      <c r="C132" s="1583"/>
      <c r="D132" s="1584"/>
      <c r="E132" s="1585"/>
      <c r="F132" s="1595">
        <v>19</v>
      </c>
      <c r="G132" s="1596"/>
      <c r="H132" s="1586"/>
      <c r="I132" s="1587"/>
      <c r="J132" s="479"/>
      <c r="K132" s="902" t="s">
        <v>767</v>
      </c>
    </row>
    <row r="133" spans="1:11">
      <c r="A133" s="903" t="s">
        <v>2</v>
      </c>
      <c r="B133" s="171"/>
      <c r="C133" s="167" t="s">
        <v>5</v>
      </c>
      <c r="D133" s="172"/>
      <c r="E133" s="166"/>
      <c r="F133" s="165" t="s">
        <v>9</v>
      </c>
      <c r="G133" s="172"/>
      <c r="H133" s="172"/>
      <c r="I133" s="172"/>
      <c r="J133" s="172"/>
      <c r="K133" s="904"/>
    </row>
    <row r="134" spans="1:11">
      <c r="A134" s="905" t="s">
        <v>490</v>
      </c>
      <c r="B134" s="173"/>
      <c r="C134" s="174"/>
      <c r="D134" s="456">
        <v>2</v>
      </c>
      <c r="E134" s="175"/>
      <c r="F134" s="176" t="s">
        <v>936</v>
      </c>
      <c r="G134" s="177"/>
      <c r="H134" s="177"/>
      <c r="I134" s="177"/>
      <c r="J134" s="177"/>
      <c r="K134" s="906"/>
    </row>
    <row r="135" spans="1:11">
      <c r="A135" s="903" t="s">
        <v>491</v>
      </c>
      <c r="B135" s="282"/>
      <c r="C135" s="165" t="s">
        <v>6</v>
      </c>
      <c r="D135" s="1588" t="s">
        <v>1186</v>
      </c>
      <c r="E135" s="1589"/>
      <c r="F135" s="165" t="s">
        <v>10</v>
      </c>
      <c r="G135" s="172"/>
      <c r="H135" s="172"/>
      <c r="I135" s="172"/>
      <c r="J135" s="172"/>
      <c r="K135" s="904"/>
    </row>
    <row r="136" spans="1:11">
      <c r="A136" s="905" t="s">
        <v>937</v>
      </c>
      <c r="B136" s="173"/>
      <c r="C136" s="174"/>
      <c r="D136" s="177"/>
      <c r="E136" s="175"/>
      <c r="F136" s="178"/>
      <c r="G136" s="177"/>
      <c r="H136" s="177"/>
      <c r="I136" s="177"/>
      <c r="J136" s="177"/>
      <c r="K136" s="906"/>
    </row>
    <row r="137" spans="1:11">
      <c r="A137" s="907"/>
      <c r="B137" s="180"/>
      <c r="C137" s="180"/>
      <c r="D137" s="180"/>
      <c r="E137" s="180"/>
      <c r="F137" s="180"/>
      <c r="G137" s="180"/>
      <c r="H137" s="180"/>
      <c r="I137" s="180"/>
      <c r="J137" s="180"/>
      <c r="K137" s="908"/>
    </row>
    <row r="138" spans="1:11">
      <c r="A138" s="909" t="s">
        <v>11</v>
      </c>
      <c r="B138" s="183"/>
      <c r="C138" s="172"/>
      <c r="D138" s="172"/>
      <c r="E138" s="166"/>
      <c r="F138" s="184" t="s">
        <v>12</v>
      </c>
      <c r="G138" s="166"/>
      <c r="H138" s="184" t="s">
        <v>13</v>
      </c>
      <c r="I138" s="166"/>
      <c r="J138" s="1071" t="s">
        <v>14</v>
      </c>
      <c r="K138" s="904" t="s">
        <v>1189</v>
      </c>
    </row>
    <row r="139" spans="1:11" ht="16.5">
      <c r="A139" s="910" t="s">
        <v>938</v>
      </c>
      <c r="B139" s="186"/>
      <c r="C139" s="180"/>
      <c r="D139" s="180"/>
      <c r="E139" s="181"/>
      <c r="F139" s="179"/>
      <c r="G139" s="181"/>
      <c r="H139" s="179"/>
      <c r="I139" s="181"/>
      <c r="J139" s="1072"/>
      <c r="K139" s="908"/>
    </row>
    <row r="140" spans="1:11">
      <c r="A140" s="1597" t="s">
        <v>940</v>
      </c>
      <c r="B140" s="1598"/>
      <c r="C140" s="1598"/>
      <c r="D140" s="1598"/>
      <c r="E140" s="181"/>
      <c r="F140" s="179"/>
      <c r="G140" s="181"/>
      <c r="H140" s="179"/>
      <c r="I140" s="181"/>
      <c r="J140" s="1072"/>
      <c r="K140" s="908"/>
    </row>
    <row r="141" spans="1:11">
      <c r="A141" s="1597"/>
      <c r="B141" s="1598"/>
      <c r="C141" s="1598"/>
      <c r="D141" s="1598"/>
      <c r="E141" s="181"/>
      <c r="F141" s="179"/>
      <c r="G141" s="181"/>
      <c r="H141" s="179"/>
      <c r="I141" s="181"/>
      <c r="J141" s="1072"/>
      <c r="K141" s="908"/>
    </row>
    <row r="142" spans="1:11">
      <c r="A142" s="1597"/>
      <c r="B142" s="1598"/>
      <c r="C142" s="1598"/>
      <c r="D142" s="1598"/>
      <c r="E142" s="181"/>
      <c r="F142" s="179"/>
      <c r="G142" s="181"/>
      <c r="H142" s="179"/>
      <c r="I142" s="181"/>
      <c r="J142" s="1072"/>
      <c r="K142" s="908"/>
    </row>
    <row r="143" spans="1:11">
      <c r="A143" s="1597"/>
      <c r="B143" s="1598"/>
      <c r="C143" s="1598"/>
      <c r="D143" s="1598"/>
      <c r="E143" s="181"/>
      <c r="F143" s="179"/>
      <c r="G143" s="181"/>
      <c r="H143" s="179"/>
      <c r="I143" s="181"/>
      <c r="J143" s="1072"/>
      <c r="K143" s="908"/>
    </row>
    <row r="144" spans="1:11">
      <c r="A144" s="1597"/>
      <c r="B144" s="1598"/>
      <c r="C144" s="1598"/>
      <c r="D144" s="1598"/>
      <c r="E144" s="181"/>
      <c r="F144" s="179"/>
      <c r="G144" s="181"/>
      <c r="H144" s="179"/>
      <c r="I144" s="181"/>
      <c r="J144" s="1072"/>
      <c r="K144" s="908"/>
    </row>
    <row r="145" spans="1:11" ht="15.75" thickBot="1">
      <c r="A145" s="911"/>
      <c r="B145" s="198" t="s">
        <v>939</v>
      </c>
      <c r="C145" s="198"/>
      <c r="D145" s="198"/>
      <c r="E145" s="181"/>
      <c r="F145" s="179">
        <v>1</v>
      </c>
      <c r="G145" s="181"/>
      <c r="H145" s="179">
        <v>0</v>
      </c>
      <c r="I145" s="180"/>
      <c r="J145" s="1073">
        <f>H145*F145</f>
        <v>0</v>
      </c>
      <c r="K145" s="908"/>
    </row>
    <row r="146" spans="1:11" ht="15.75" thickTop="1">
      <c r="A146" s="912"/>
      <c r="B146" s="198"/>
      <c r="C146" s="198"/>
      <c r="D146" s="198"/>
      <c r="E146" s="181"/>
      <c r="F146" s="179"/>
      <c r="G146" s="181"/>
      <c r="H146" s="179"/>
      <c r="I146" s="181"/>
      <c r="J146" s="1072"/>
      <c r="K146" s="908"/>
    </row>
    <row r="147" spans="1:11" ht="15.75" thickBot="1">
      <c r="A147" s="912"/>
      <c r="B147" s="198" t="s">
        <v>941</v>
      </c>
      <c r="C147" s="198"/>
      <c r="D147" s="198"/>
      <c r="E147" s="181"/>
      <c r="F147" s="179">
        <v>1</v>
      </c>
      <c r="G147" s="181"/>
      <c r="H147" s="179">
        <v>0</v>
      </c>
      <c r="I147" s="180"/>
      <c r="J147" s="1073">
        <f>H147*F147</f>
        <v>0</v>
      </c>
      <c r="K147" s="908"/>
    </row>
    <row r="148" spans="1:11" ht="15.75" thickTop="1">
      <c r="A148" s="912"/>
      <c r="B148" s="198"/>
      <c r="C148" s="198"/>
      <c r="D148" s="198"/>
      <c r="E148" s="181"/>
      <c r="F148" s="180"/>
      <c r="G148" s="180"/>
      <c r="H148" s="179"/>
      <c r="I148" s="181"/>
      <c r="J148" s="1072"/>
      <c r="K148" s="908"/>
    </row>
    <row r="149" spans="1:11" ht="15.75" thickBot="1">
      <c r="A149" s="912"/>
      <c r="B149" s="198" t="s">
        <v>942</v>
      </c>
      <c r="C149" s="198"/>
      <c r="D149" s="198"/>
      <c r="E149" s="181"/>
      <c r="F149" s="179">
        <v>1</v>
      </c>
      <c r="G149" s="181"/>
      <c r="H149" s="185">
        <v>0</v>
      </c>
      <c r="I149" s="180"/>
      <c r="J149" s="1073">
        <f>H149*F149</f>
        <v>0</v>
      </c>
      <c r="K149" s="908"/>
    </row>
    <row r="150" spans="1:11" ht="15.75" thickTop="1">
      <c r="A150" s="1592"/>
      <c r="B150" s="1593"/>
      <c r="C150" s="1593"/>
      <c r="D150" s="1593"/>
      <c r="E150" s="1594"/>
      <c r="F150" s="180"/>
      <c r="G150" s="180"/>
      <c r="H150" s="179"/>
      <c r="I150" s="181"/>
      <c r="J150" s="1072"/>
      <c r="K150" s="908"/>
    </row>
    <row r="151" spans="1:11" ht="15.75" thickBot="1">
      <c r="A151" s="912"/>
      <c r="B151" s="198" t="s">
        <v>943</v>
      </c>
      <c r="C151" s="198"/>
      <c r="D151" s="198"/>
      <c r="E151" s="181"/>
      <c r="F151" s="179">
        <v>1</v>
      </c>
      <c r="G151" s="181"/>
      <c r="H151" s="185">
        <v>558</v>
      </c>
      <c r="I151" s="180"/>
      <c r="J151" s="1073">
        <v>558</v>
      </c>
      <c r="K151" s="908" t="s">
        <v>484</v>
      </c>
    </row>
    <row r="152" spans="1:11" ht="15.75" thickTop="1">
      <c r="A152" s="1592" t="s">
        <v>1187</v>
      </c>
      <c r="B152" s="1593"/>
      <c r="C152" s="1593"/>
      <c r="D152" s="1593"/>
      <c r="E152" s="1594"/>
      <c r="F152" s="180"/>
      <c r="G152" s="180"/>
      <c r="H152" s="179"/>
      <c r="I152" s="181"/>
      <c r="J152" s="1072"/>
      <c r="K152" s="908"/>
    </row>
    <row r="153" spans="1:11" ht="15.75" thickBot="1">
      <c r="A153" s="912"/>
      <c r="B153" s="198" t="s">
        <v>944</v>
      </c>
      <c r="C153" s="198"/>
      <c r="D153" s="198"/>
      <c r="E153" s="181"/>
      <c r="F153" s="179">
        <v>1</v>
      </c>
      <c r="G153" s="181"/>
      <c r="H153" s="185">
        <v>0</v>
      </c>
      <c r="I153" s="180"/>
      <c r="J153" s="1073">
        <f>H153*F153</f>
        <v>0</v>
      </c>
      <c r="K153" s="908"/>
    </row>
    <row r="154" spans="1:11" ht="15.75" thickTop="1">
      <c r="A154" s="912"/>
      <c r="B154" s="198"/>
      <c r="C154" s="198"/>
      <c r="D154" s="198"/>
      <c r="E154" s="181"/>
      <c r="F154" s="180"/>
      <c r="G154" s="180"/>
      <c r="H154" s="179"/>
      <c r="I154" s="181"/>
      <c r="J154" s="1072"/>
      <c r="K154" s="908"/>
    </row>
    <row r="155" spans="1:11" ht="15.75">
      <c r="A155" s="1590" t="s">
        <v>945</v>
      </c>
      <c r="B155" s="1591"/>
      <c r="C155" s="1591"/>
      <c r="D155" s="1591"/>
      <c r="E155" s="181"/>
      <c r="F155" s="542"/>
      <c r="G155" s="542"/>
      <c r="H155" s="214"/>
      <c r="I155" s="181"/>
      <c r="J155" s="1072"/>
      <c r="K155" s="908"/>
    </row>
    <row r="156" spans="1:11">
      <c r="A156" s="913"/>
      <c r="B156" s="198"/>
      <c r="C156" s="198"/>
      <c r="D156" s="198"/>
      <c r="E156" s="181"/>
      <c r="F156" s="179"/>
      <c r="G156" s="181"/>
      <c r="H156" s="179"/>
      <c r="I156" s="181"/>
      <c r="J156" s="1072"/>
      <c r="K156" s="908"/>
    </row>
    <row r="157" spans="1:11" ht="15.75" thickBot="1">
      <c r="A157" s="911"/>
      <c r="B157" s="198" t="s">
        <v>939</v>
      </c>
      <c r="C157" s="198"/>
      <c r="D157" s="198"/>
      <c r="E157" s="181"/>
      <c r="F157" s="179">
        <v>1</v>
      </c>
      <c r="G157" s="181"/>
      <c r="H157" s="179">
        <v>0</v>
      </c>
      <c r="I157" s="180"/>
      <c r="J157" s="1073">
        <f>H157*F157</f>
        <v>0</v>
      </c>
      <c r="K157" s="908"/>
    </row>
    <row r="158" spans="1:11" ht="15.75" thickTop="1">
      <c r="A158" s="913"/>
      <c r="B158" s="198"/>
      <c r="C158" s="198"/>
      <c r="D158" s="198"/>
      <c r="E158" s="181"/>
      <c r="F158" s="179"/>
      <c r="G158" s="181"/>
      <c r="H158" s="179"/>
      <c r="I158" s="180"/>
      <c r="J158" s="1072"/>
      <c r="K158" s="908"/>
    </row>
    <row r="159" spans="1:11" ht="15.75" thickBot="1">
      <c r="A159" s="911"/>
      <c r="B159" s="198" t="s">
        <v>941</v>
      </c>
      <c r="C159" s="198"/>
      <c r="D159" s="198"/>
      <c r="E159" s="181"/>
      <c r="F159" s="179">
        <v>1</v>
      </c>
      <c r="G159" s="181"/>
      <c r="H159" s="179">
        <v>0</v>
      </c>
      <c r="I159" s="180"/>
      <c r="J159" s="1073">
        <f>H159*F159</f>
        <v>0</v>
      </c>
      <c r="K159" s="908"/>
    </row>
    <row r="160" spans="1:11" ht="15.75" thickTop="1">
      <c r="A160" s="911"/>
      <c r="B160" s="198"/>
      <c r="C160" s="198"/>
      <c r="D160" s="198"/>
      <c r="E160" s="181"/>
      <c r="F160" s="179"/>
      <c r="G160" s="181"/>
      <c r="H160" s="179"/>
      <c r="I160" s="180"/>
      <c r="J160" s="1074"/>
      <c r="K160" s="908"/>
    </row>
    <row r="161" spans="1:11" ht="15.75" thickBot="1">
      <c r="A161" s="911"/>
      <c r="B161" s="198" t="s">
        <v>942</v>
      </c>
      <c r="C161" s="198"/>
      <c r="D161" s="198"/>
      <c r="E161" s="181"/>
      <c r="F161" s="179">
        <v>1</v>
      </c>
      <c r="G161" s="181"/>
      <c r="H161" s="179">
        <v>0</v>
      </c>
      <c r="I161" s="180"/>
      <c r="J161" s="1073">
        <f>H161*F161</f>
        <v>0</v>
      </c>
      <c r="K161" s="908"/>
    </row>
    <row r="162" spans="1:11" ht="15.75" thickTop="1">
      <c r="A162" s="1592" t="s">
        <v>1178</v>
      </c>
      <c r="B162" s="1593"/>
      <c r="C162" s="1593"/>
      <c r="D162" s="1593"/>
      <c r="E162" s="1594"/>
      <c r="F162" s="179"/>
      <c r="G162" s="181"/>
      <c r="H162" s="179"/>
      <c r="I162" s="181"/>
      <c r="J162" s="1074"/>
      <c r="K162" s="908"/>
    </row>
    <row r="163" spans="1:11">
      <c r="A163" s="1171"/>
      <c r="B163" s="1172"/>
      <c r="C163" s="1172"/>
      <c r="D163" s="1172"/>
      <c r="E163" s="1173"/>
      <c r="F163" s="179"/>
      <c r="G163" s="181"/>
      <c r="H163" s="179"/>
      <c r="I163" s="181"/>
      <c r="J163" s="1074"/>
      <c r="K163" s="908"/>
    </row>
    <row r="164" spans="1:11" ht="15.75" thickBot="1">
      <c r="A164" s="911" t="s">
        <v>1240</v>
      </c>
      <c r="B164" s="1174"/>
      <c r="C164" s="1174"/>
      <c r="D164" s="1174"/>
      <c r="E164" s="1175"/>
      <c r="F164" s="179">
        <v>4</v>
      </c>
      <c r="G164" s="181"/>
      <c r="H164" s="179">
        <v>45</v>
      </c>
      <c r="I164" s="181"/>
      <c r="J164" s="1073">
        <f>H164*F164</f>
        <v>180</v>
      </c>
      <c r="K164" s="908" t="s">
        <v>484</v>
      </c>
    </row>
    <row r="165" spans="1:11" ht="15.75" thickTop="1">
      <c r="A165" s="911" t="s">
        <v>1241</v>
      </c>
      <c r="B165" s="1174"/>
      <c r="C165" s="1174"/>
      <c r="D165" s="1174"/>
      <c r="E165" s="1175"/>
      <c r="F165" s="179">
        <v>1</v>
      </c>
      <c r="G165" s="181"/>
      <c r="H165" s="179">
        <v>18</v>
      </c>
      <c r="I165" s="181"/>
      <c r="J165" s="1075">
        <f>H165</f>
        <v>18</v>
      </c>
      <c r="K165" s="908" t="s">
        <v>484</v>
      </c>
    </row>
    <row r="166" spans="1:11" ht="15.75" thickBot="1">
      <c r="A166" s="911" t="s">
        <v>1242</v>
      </c>
      <c r="B166" s="1174"/>
      <c r="C166" s="1174"/>
      <c r="D166" s="1174"/>
      <c r="E166" s="1175"/>
      <c r="F166" s="179">
        <v>1</v>
      </c>
      <c r="G166" s="181"/>
      <c r="H166" s="179">
        <f>J164-J165</f>
        <v>162</v>
      </c>
      <c r="I166" s="181"/>
      <c r="J166" s="1073">
        <f>H166</f>
        <v>162</v>
      </c>
      <c r="K166" s="908" t="s">
        <v>484</v>
      </c>
    </row>
    <row r="167" spans="1:11" ht="15.75" thickTop="1">
      <c r="A167" s="911"/>
      <c r="B167" s="1174"/>
      <c r="C167" s="1174"/>
      <c r="D167" s="1174"/>
      <c r="E167" s="1175"/>
      <c r="F167" s="179"/>
      <c r="G167" s="181"/>
      <c r="H167" s="179"/>
      <c r="I167" s="181"/>
      <c r="J167" s="1075"/>
      <c r="K167" s="908"/>
    </row>
    <row r="168" spans="1:11" ht="15.75" thickBot="1">
      <c r="A168" s="911" t="s">
        <v>1202</v>
      </c>
      <c r="B168" s="1174"/>
      <c r="C168" s="1174"/>
      <c r="D168" s="1174"/>
      <c r="E168" s="1175"/>
      <c r="F168" s="179">
        <v>1</v>
      </c>
      <c r="G168" s="181"/>
      <c r="H168" s="179">
        <v>12.96</v>
      </c>
      <c r="I168" s="181"/>
      <c r="J168" s="1073">
        <v>12.96</v>
      </c>
      <c r="K168" s="908" t="s">
        <v>1071</v>
      </c>
    </row>
    <row r="169" spans="1:11" ht="15.75" thickTop="1">
      <c r="A169" s="911"/>
      <c r="B169" s="1174"/>
      <c r="C169" s="1174"/>
      <c r="D169" s="1174"/>
      <c r="E169" s="1175"/>
      <c r="F169" s="179"/>
      <c r="G169" s="181"/>
      <c r="H169" s="179"/>
      <c r="I169" s="181"/>
      <c r="J169" s="1075"/>
      <c r="K169" s="908"/>
    </row>
    <row r="170" spans="1:11">
      <c r="A170" s="911" t="s">
        <v>1243</v>
      </c>
      <c r="B170" s="1174"/>
      <c r="C170" s="1174"/>
      <c r="D170" s="1174"/>
      <c r="E170" s="1175" t="s">
        <v>1244</v>
      </c>
      <c r="F170" s="179"/>
      <c r="G170" s="181"/>
      <c r="H170" s="179"/>
      <c r="I170" s="181"/>
      <c r="J170" s="1075"/>
      <c r="K170" s="908"/>
    </row>
    <row r="171" spans="1:11">
      <c r="A171" s="1592" t="s">
        <v>1245</v>
      </c>
      <c r="B171" s="1593"/>
      <c r="C171" s="1593"/>
      <c r="D171" s="1593"/>
      <c r="E171" s="1594"/>
      <c r="F171" s="179"/>
      <c r="G171" s="181"/>
      <c r="H171" s="179"/>
      <c r="I171" s="181"/>
      <c r="J171" s="1074"/>
      <c r="K171" s="908"/>
    </row>
    <row r="172" spans="1:11">
      <c r="A172" s="1592" t="s">
        <v>1245</v>
      </c>
      <c r="B172" s="1593"/>
      <c r="C172" s="1593"/>
      <c r="D172" s="1593"/>
      <c r="E172" s="1594"/>
      <c r="F172" s="179"/>
      <c r="G172" s="181"/>
      <c r="H172" s="179"/>
      <c r="I172" s="181"/>
      <c r="J172" s="1074"/>
      <c r="K172" s="908"/>
    </row>
    <row r="173" spans="1:11" ht="15.75" thickBot="1">
      <c r="A173" s="911" t="s">
        <v>1246</v>
      </c>
      <c r="B173" s="1174"/>
      <c r="C173" s="1174" t="s">
        <v>1247</v>
      </c>
      <c r="D173" s="1174"/>
      <c r="E173" s="1175"/>
      <c r="F173" s="179">
        <v>1</v>
      </c>
      <c r="G173" s="181"/>
      <c r="H173" s="179">
        <v>210</v>
      </c>
      <c r="I173" s="181"/>
      <c r="J173" s="1073">
        <v>210</v>
      </c>
      <c r="K173" s="908" t="s">
        <v>484</v>
      </c>
    </row>
    <row r="174" spans="1:11" ht="15.75" thickTop="1">
      <c r="A174" s="1592" t="s">
        <v>1248</v>
      </c>
      <c r="B174" s="1593"/>
      <c r="C174" s="1593"/>
      <c r="D174" s="1593"/>
      <c r="E174" s="1594"/>
      <c r="F174" s="179"/>
      <c r="G174" s="181"/>
      <c r="H174" s="179"/>
      <c r="I174" s="181"/>
      <c r="J174" s="1074"/>
      <c r="K174" s="908"/>
    </row>
    <row r="175" spans="1:11">
      <c r="A175" s="1592" t="s">
        <v>1249</v>
      </c>
      <c r="B175" s="1593"/>
      <c r="C175" s="1593"/>
      <c r="D175" s="1593"/>
      <c r="E175" s="1594"/>
      <c r="F175" s="179"/>
      <c r="G175" s="181"/>
      <c r="H175" s="179"/>
      <c r="I175" s="181"/>
      <c r="J175" s="1074"/>
      <c r="K175" s="908"/>
    </row>
    <row r="176" spans="1:11">
      <c r="A176" s="1592" t="s">
        <v>1250</v>
      </c>
      <c r="B176" s="1593"/>
      <c r="C176" s="1593"/>
      <c r="D176" s="1593"/>
      <c r="E176" s="1594"/>
      <c r="F176" s="179">
        <v>1</v>
      </c>
      <c r="G176" s="181"/>
      <c r="H176" s="179">
        <v>300</v>
      </c>
      <c r="I176" s="181"/>
      <c r="J176" s="1074"/>
      <c r="K176" s="908"/>
    </row>
    <row r="177" spans="1:11">
      <c r="A177" s="1592" t="s">
        <v>1251</v>
      </c>
      <c r="B177" s="1593"/>
      <c r="C177" s="1593"/>
      <c r="D177" s="1593"/>
      <c r="E177" s="1594"/>
      <c r="F177" s="179"/>
      <c r="G177" s="181"/>
      <c r="H177" s="179">
        <v>1.5</v>
      </c>
      <c r="I177" s="181"/>
      <c r="J177" s="1074"/>
      <c r="K177" s="908"/>
    </row>
    <row r="178" spans="1:11" ht="15.75" thickBot="1">
      <c r="A178" s="1171"/>
      <c r="B178" s="1172"/>
      <c r="C178" s="1172"/>
      <c r="D178" s="1172"/>
      <c r="E178" s="1173"/>
      <c r="F178" s="179"/>
      <c r="G178" s="181"/>
      <c r="H178" s="174">
        <v>0.8</v>
      </c>
      <c r="I178" s="175"/>
      <c r="J178" s="1077">
        <f>H178*H177*H176</f>
        <v>360.00000000000006</v>
      </c>
      <c r="K178" s="908" t="s">
        <v>141</v>
      </c>
    </row>
    <row r="179" spans="1:11" ht="15.75" thickTop="1">
      <c r="A179" s="1592" t="s">
        <v>1259</v>
      </c>
      <c r="B179" s="1593"/>
      <c r="C179" s="1593"/>
      <c r="D179" s="1593"/>
      <c r="E179" s="1594"/>
      <c r="F179" s="179"/>
      <c r="G179" s="181"/>
      <c r="H179" s="179"/>
      <c r="I179" s="181"/>
      <c r="J179" s="1074"/>
      <c r="K179" s="908"/>
    </row>
    <row r="180" spans="1:11">
      <c r="A180" s="1592" t="s">
        <v>1260</v>
      </c>
      <c r="B180" s="1593"/>
      <c r="C180" s="1593"/>
      <c r="D180" s="1593"/>
      <c r="E180" s="1594"/>
      <c r="F180" s="179">
        <v>1</v>
      </c>
      <c r="G180" s="181"/>
      <c r="H180" s="179">
        <v>210</v>
      </c>
      <c r="I180" s="181"/>
      <c r="J180" s="1074"/>
      <c r="K180" s="908"/>
    </row>
    <row r="181" spans="1:11">
      <c r="A181" s="1171"/>
      <c r="B181" s="1172"/>
      <c r="C181" s="1172"/>
      <c r="D181" s="1172"/>
      <c r="E181" s="1173"/>
      <c r="F181" s="179"/>
      <c r="G181" s="181"/>
      <c r="H181" s="179">
        <v>1.5</v>
      </c>
      <c r="I181" s="181"/>
      <c r="J181" s="1074"/>
      <c r="K181" s="908"/>
    </row>
    <row r="182" spans="1:11" ht="15.75" thickBot="1">
      <c r="A182" s="1171"/>
      <c r="B182" s="1172"/>
      <c r="C182" s="1172"/>
      <c r="D182" s="1172"/>
      <c r="E182" s="1173"/>
      <c r="F182" s="179"/>
      <c r="G182" s="181"/>
      <c r="H182" s="174">
        <v>0.8</v>
      </c>
      <c r="I182" s="175"/>
      <c r="J182" s="1077">
        <v>252</v>
      </c>
      <c r="K182" s="908" t="s">
        <v>141</v>
      </c>
    </row>
    <row r="183" spans="1:11" ht="15.75" thickTop="1">
      <c r="A183" s="1171"/>
      <c r="B183" s="1172"/>
      <c r="C183" s="1172"/>
      <c r="D183" s="1172"/>
      <c r="E183" s="1173"/>
      <c r="F183" s="179"/>
      <c r="G183" s="181"/>
      <c r="H183" s="179"/>
      <c r="I183" s="181"/>
      <c r="J183" s="1074"/>
      <c r="K183" s="908"/>
    </row>
    <row r="184" spans="1:11">
      <c r="A184" s="1171"/>
      <c r="B184" s="1172"/>
      <c r="C184" s="1172"/>
      <c r="D184" s="1172"/>
      <c r="E184" s="1173"/>
      <c r="F184" s="179"/>
      <c r="G184" s="181"/>
      <c r="H184" s="179"/>
      <c r="I184" s="181"/>
      <c r="J184" s="1074"/>
      <c r="K184" s="908"/>
    </row>
    <row r="185" spans="1:11">
      <c r="A185" s="1171"/>
      <c r="B185" s="1172"/>
      <c r="C185" s="1172"/>
      <c r="D185" s="1172"/>
      <c r="E185" s="1173"/>
      <c r="F185" s="179"/>
      <c r="G185" s="181"/>
      <c r="H185" s="179"/>
      <c r="I185" s="181"/>
      <c r="J185" s="1074"/>
      <c r="K185" s="908"/>
    </row>
    <row r="186" spans="1:11">
      <c r="A186" s="1171"/>
      <c r="B186" s="1172"/>
      <c r="C186" s="1172"/>
      <c r="D186" s="1172"/>
      <c r="E186" s="1173"/>
      <c r="F186" s="179"/>
      <c r="G186" s="181"/>
      <c r="H186" s="179"/>
      <c r="I186" s="181"/>
      <c r="J186" s="1074"/>
      <c r="K186" s="908"/>
    </row>
    <row r="187" spans="1:11">
      <c r="A187" s="1171"/>
      <c r="B187" s="1172"/>
      <c r="C187" s="1172"/>
      <c r="D187" s="1172"/>
      <c r="E187" s="1173"/>
      <c r="F187" s="179"/>
      <c r="G187" s="181"/>
      <c r="H187" s="179"/>
      <c r="I187" s="181"/>
      <c r="J187" s="1074"/>
      <c r="K187" s="908"/>
    </row>
    <row r="188" spans="1:11">
      <c r="A188" s="1171"/>
      <c r="B188" s="1172"/>
      <c r="C188" s="1172"/>
      <c r="D188" s="1172"/>
      <c r="E188" s="1173"/>
      <c r="F188" s="179"/>
      <c r="G188" s="181"/>
      <c r="H188" s="179"/>
      <c r="I188" s="181"/>
      <c r="J188" s="1074"/>
      <c r="K188" s="908"/>
    </row>
    <row r="189" spans="1:11">
      <c r="A189" s="1171"/>
      <c r="B189" s="1172"/>
      <c r="C189" s="1172"/>
      <c r="D189" s="1172"/>
      <c r="E189" s="1173"/>
      <c r="F189" s="179"/>
      <c r="G189" s="181"/>
      <c r="H189" s="179"/>
      <c r="I189" s="181"/>
      <c r="J189" s="1074"/>
      <c r="K189" s="908"/>
    </row>
    <row r="190" spans="1:11">
      <c r="A190" s="1171"/>
      <c r="B190" s="1172"/>
      <c r="C190" s="1172"/>
      <c r="D190" s="1172"/>
      <c r="E190" s="1173"/>
      <c r="F190" s="179"/>
      <c r="G190" s="181"/>
      <c r="H190" s="179"/>
      <c r="I190" s="181"/>
      <c r="J190" s="1074"/>
      <c r="K190" s="908"/>
    </row>
    <row r="191" spans="1:11" ht="15.75" thickBot="1">
      <c r="A191" s="911"/>
      <c r="B191" s="198"/>
      <c r="C191" s="198"/>
      <c r="D191" s="198"/>
      <c r="E191" s="181"/>
      <c r="F191" s="179"/>
      <c r="G191" s="181"/>
      <c r="H191" s="179"/>
      <c r="I191" s="181"/>
      <c r="J191" s="1079"/>
      <c r="K191" s="908"/>
    </row>
    <row r="192" spans="1:11" ht="15.75" thickTop="1">
      <c r="A192" s="914"/>
      <c r="B192" s="215"/>
      <c r="C192" s="215" t="s">
        <v>10</v>
      </c>
      <c r="D192" s="215" t="s">
        <v>18</v>
      </c>
      <c r="E192" s="217"/>
      <c r="F192" s="216" t="s">
        <v>19</v>
      </c>
      <c r="G192" s="217"/>
      <c r="H192" s="217"/>
      <c r="I192" s="217"/>
      <c r="J192" s="217"/>
      <c r="K192" s="915"/>
    </row>
    <row r="193" spans="1:11">
      <c r="A193" s="916" t="s">
        <v>15</v>
      </c>
      <c r="B193" s="188"/>
      <c r="C193" s="188"/>
      <c r="D193" s="194"/>
      <c r="E193" s="191"/>
      <c r="F193" s="191"/>
      <c r="G193" s="191"/>
      <c r="H193" s="191"/>
      <c r="I193" s="191"/>
      <c r="J193" s="191"/>
      <c r="K193" s="917"/>
    </row>
    <row r="194" spans="1:11">
      <c r="A194" s="916" t="s">
        <v>16</v>
      </c>
      <c r="B194" s="188"/>
      <c r="C194" s="188"/>
      <c r="D194" s="194"/>
      <c r="E194" s="191"/>
      <c r="F194" s="191"/>
      <c r="G194" s="191"/>
      <c r="H194" s="191"/>
      <c r="I194" s="191"/>
      <c r="J194" s="191"/>
      <c r="K194" s="917"/>
    </row>
    <row r="195" spans="1:11" ht="15.75" thickBot="1">
      <c r="A195" s="918" t="s">
        <v>553</v>
      </c>
      <c r="B195" s="919"/>
      <c r="C195" s="919"/>
      <c r="D195" s="920"/>
      <c r="E195" s="921"/>
      <c r="F195" s="921"/>
      <c r="G195" s="921"/>
      <c r="H195" s="921"/>
      <c r="I195" s="921"/>
      <c r="J195" s="921"/>
      <c r="K195" s="922"/>
    </row>
  </sheetData>
  <mergeCells count="57">
    <mergeCell ref="A140:D144"/>
    <mergeCell ref="A150:E150"/>
    <mergeCell ref="A152:E152"/>
    <mergeCell ref="A155:D155"/>
    <mergeCell ref="A162:E162"/>
    <mergeCell ref="A177:E177"/>
    <mergeCell ref="A179:E179"/>
    <mergeCell ref="A180:E180"/>
    <mergeCell ref="A171:E171"/>
    <mergeCell ref="A172:E172"/>
    <mergeCell ref="A174:E174"/>
    <mergeCell ref="A175:E175"/>
    <mergeCell ref="A176:E176"/>
    <mergeCell ref="F132:G132"/>
    <mergeCell ref="H132:I132"/>
    <mergeCell ref="D135:E135"/>
    <mergeCell ref="A109:E109"/>
    <mergeCell ref="A110:E110"/>
    <mergeCell ref="A114:E114"/>
    <mergeCell ref="A131:B131"/>
    <mergeCell ref="C131:E132"/>
    <mergeCell ref="A101:E101"/>
    <mergeCell ref="A102:E102"/>
    <mergeCell ref="A104:E104"/>
    <mergeCell ref="A105:E105"/>
    <mergeCell ref="A106:E106"/>
    <mergeCell ref="A107:E107"/>
    <mergeCell ref="A1:B1"/>
    <mergeCell ref="C1:E2"/>
    <mergeCell ref="B44:E44"/>
    <mergeCell ref="D43:E43"/>
    <mergeCell ref="A43:C43"/>
    <mergeCell ref="A10:D14"/>
    <mergeCell ref="A25:D25"/>
    <mergeCell ref="A20:E20"/>
    <mergeCell ref="A32:E32"/>
    <mergeCell ref="A34:E34"/>
    <mergeCell ref="A35:C35"/>
    <mergeCell ref="D35:E35"/>
    <mergeCell ref="A61:B61"/>
    <mergeCell ref="C61:E62"/>
    <mergeCell ref="A82:E82"/>
    <mergeCell ref="F2:G2"/>
    <mergeCell ref="H2:I2"/>
    <mergeCell ref="D5:E5"/>
    <mergeCell ref="A22:E22"/>
    <mergeCell ref="B46:E46"/>
    <mergeCell ref="B38:E38"/>
    <mergeCell ref="A41:E41"/>
    <mergeCell ref="A36:C36"/>
    <mergeCell ref="A85:D85"/>
    <mergeCell ref="A92:E92"/>
    <mergeCell ref="F62:G62"/>
    <mergeCell ref="H62:I62"/>
    <mergeCell ref="D65:E65"/>
    <mergeCell ref="A70:D74"/>
    <mergeCell ref="A80:E80"/>
  </mergeCells>
  <printOptions horizontalCentered="1" verticalCentered="1"/>
  <pageMargins left="0.2" right="0.2" top="0.23" bottom="0.02" header="0.3" footer="0.3"/>
  <pageSetup paperSize="9" scale="78" orientation="portrait" r:id="rId1"/>
  <rowBreaks count="2" manualBreakCount="2">
    <brk id="59" max="16383" man="1"/>
    <brk id="12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18</vt:i4>
      </vt:variant>
    </vt:vector>
  </HeadingPairs>
  <TitlesOfParts>
    <vt:vector size="46" baseType="lpstr">
      <vt:lpstr>MEMO</vt:lpstr>
      <vt:lpstr>certificate </vt:lpstr>
      <vt:lpstr>Sheet1</vt:lpstr>
      <vt:lpstr>Sheet2</vt:lpstr>
      <vt:lpstr>Sheet3</vt:lpstr>
      <vt:lpstr>SUMMARY</vt:lpstr>
      <vt:lpstr>Grand Summary</vt:lpstr>
      <vt:lpstr>Sewage uPVC Pipe and Manhole</vt:lpstr>
      <vt:lpstr>SA5 Additional Sani Works </vt:lpstr>
      <vt:lpstr>Imhoff</vt:lpstr>
      <vt:lpstr>Dortmund</vt:lpstr>
      <vt:lpstr>Raw water pumping station</vt:lpstr>
      <vt:lpstr>EMERGENCY</vt:lpstr>
      <vt:lpstr>service building</vt:lpstr>
      <vt:lpstr>AEARATION</vt:lpstr>
      <vt:lpstr>bar schedule (2)</vt:lpstr>
      <vt:lpstr>Storm Water Drainage</vt:lpstr>
      <vt:lpstr>DS Retaining Wall </vt:lpstr>
      <vt:lpstr>Walk way &amp; crossing </vt:lpstr>
      <vt:lpstr>Water Supply</vt:lpstr>
      <vt:lpstr>Site Road</vt:lpstr>
      <vt:lpstr>SDB Gates 1 2 3 and 4</vt:lpstr>
      <vt:lpstr>500 m3 Ground Reservior</vt:lpstr>
      <vt:lpstr>Pump House</vt:lpstr>
      <vt:lpstr>50 m3 Elevated Tank</vt:lpstr>
      <vt:lpstr>Variation order No.06</vt:lpstr>
      <vt:lpstr>DS Bar Sche RB SDB g ERP</vt:lpstr>
      <vt:lpstr>SDBs</vt:lpstr>
      <vt:lpstr>AEARATION!Print_Area</vt:lpstr>
      <vt:lpstr>'bar schedule (2)'!Print_Area</vt:lpstr>
      <vt:lpstr>'certificate '!Print_Area</vt:lpstr>
      <vt:lpstr>'DS Bar Sche RB SDB g ERP'!Print_Area</vt:lpstr>
      <vt:lpstr>'DS Retaining Wall '!Print_Area</vt:lpstr>
      <vt:lpstr>EMERGENCY!Print_Area</vt:lpstr>
      <vt:lpstr>'Grand Summary'!Print_Area</vt:lpstr>
      <vt:lpstr>Imhoff!Print_Area</vt:lpstr>
      <vt:lpstr>'Raw water pumping station'!Print_Area</vt:lpstr>
      <vt:lpstr>'SDB Gates 1 2 3 and 4'!Print_Area</vt:lpstr>
      <vt:lpstr>'service building'!Print_Area</vt:lpstr>
      <vt:lpstr>'Sewage uPVC Pipe and Manhole'!Print_Area</vt:lpstr>
      <vt:lpstr>'Site Road'!Print_Area</vt:lpstr>
      <vt:lpstr>'Storm Water Drainage'!Print_Area</vt:lpstr>
      <vt:lpstr>SUMMARY!Print_Area</vt:lpstr>
      <vt:lpstr>'Walk way &amp; crossing '!Print_Area</vt:lpstr>
      <vt:lpstr>'Water Supply'!Print_Area</vt:lpstr>
      <vt:lpstr>SUMMARY!Print_Titles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2005-10-13T07:36:38Z</cp:lastPrinted>
  <dcterms:created xsi:type="dcterms:W3CDTF">2011-04-11T09:04:32Z</dcterms:created>
  <dcterms:modified xsi:type="dcterms:W3CDTF">2005-10-13T07:42:52Z</dcterms:modified>
</cp:coreProperties>
</file>